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D:\Dr Zain Ophthalmology\"/>
    </mc:Choice>
  </mc:AlternateContent>
  <xr:revisionPtr revIDLastSave="0" documentId="8_{1ADB90D0-E63B-445A-A7EE-814E93ECB34F}" xr6:coauthVersionLast="47" xr6:coauthVersionMax="47" xr10:uidLastSave="{00000000-0000-0000-0000-000000000000}"/>
  <bookViews>
    <workbookView showSheetTabs="0" xWindow="-108" yWindow="-108" windowWidth="23256" windowHeight="12456" tabRatio="615" firstSheet="1" xr2:uid="{00000000-000D-0000-FFFF-FFFF00000000}"/>
  </bookViews>
  <sheets>
    <sheet name="PRIMARY" sheetId="1" r:id="rId1"/>
    <sheet name="Sheet4" sheetId="17" r:id="rId2"/>
    <sheet name="OD TALUS" sheetId="7" r:id="rId3"/>
    <sheet name="OS TALUS" sheetId="8" r:id="rId4"/>
    <sheet name="SPHERE NOMOGRAM" sheetId="6" r:id="rId5"/>
    <sheet name="Sheet2" sheetId="9" r:id="rId6"/>
    <sheet name="Sheet3" sheetId="10" r:id="rId7"/>
    <sheet name="Sheet2 (2)" sheetId="12" r:id="rId8"/>
    <sheet name="Sheet3 (2)" sheetId="15" r:id="rId9"/>
    <sheet name="Sheet2 (3)" sheetId="14" r:id="rId10"/>
    <sheet name="Sheet3 (3)" sheetId="16" r:id="rId11"/>
    <sheet name="Sheet1" sheetId="3" state="hidden" r:id="rId12"/>
  </sheets>
  <definedNames>
    <definedName name="_xlnm.Print_Area" localSheetId="0">PRIMARY!$D$1:$AC$336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0" i="1" l="1"/>
  <c r="W9" i="1"/>
  <c r="AS11" i="1" l="1"/>
  <c r="AR11" i="1"/>
  <c r="W6" i="1" s="1"/>
  <c r="AN11" i="1"/>
  <c r="AM11" i="1"/>
  <c r="W5" i="1" s="1"/>
  <c r="Z26" i="1" l="1"/>
  <c r="Z24" i="1"/>
  <c r="Z22" i="1"/>
  <c r="C2" i="6" s="1"/>
  <c r="X26" i="1"/>
  <c r="X24" i="1"/>
  <c r="B3" i="6" s="1"/>
  <c r="X22" i="1"/>
  <c r="B2" i="6"/>
  <c r="C3" i="6" l="1"/>
  <c r="W49" i="1"/>
  <c r="X28" i="16" l="1"/>
  <c r="X28" i="14"/>
  <c r="X26" i="16"/>
  <c r="X26" i="14"/>
  <c r="E13" i="8" l="1"/>
  <c r="E112" i="8" s="1"/>
  <c r="E12" i="8"/>
  <c r="E111" i="8" s="1"/>
  <c r="E11" i="8"/>
  <c r="E110" i="8" s="1"/>
  <c r="E10" i="8"/>
  <c r="E9" i="8"/>
  <c r="E8" i="8"/>
  <c r="D13" i="8"/>
  <c r="D112" i="8" s="1"/>
  <c r="D12" i="8"/>
  <c r="D111" i="8" s="1"/>
  <c r="D11" i="8"/>
  <c r="D110" i="8" s="1"/>
  <c r="D10" i="8"/>
  <c r="D109" i="8" s="1"/>
  <c r="D9" i="8"/>
  <c r="D108" i="8" s="1"/>
  <c r="D8" i="8"/>
  <c r="D107" i="8" s="1"/>
  <c r="C13" i="8"/>
  <c r="C12" i="8"/>
  <c r="C11" i="8"/>
  <c r="C10" i="8"/>
  <c r="C9" i="8"/>
  <c r="C8" i="8"/>
  <c r="E13" i="7"/>
  <c r="E112" i="7" s="1"/>
  <c r="E12" i="7"/>
  <c r="E111" i="7" s="1"/>
  <c r="E11" i="7"/>
  <c r="E110" i="7" s="1"/>
  <c r="E10" i="7"/>
  <c r="E109" i="7" s="1"/>
  <c r="E9" i="7"/>
  <c r="D13" i="7"/>
  <c r="D112" i="7" s="1"/>
  <c r="D12" i="7"/>
  <c r="D111" i="7" s="1"/>
  <c r="D11" i="7"/>
  <c r="D110" i="7" s="1"/>
  <c r="D10" i="7"/>
  <c r="D109" i="7" s="1"/>
  <c r="D9" i="7"/>
  <c r="D108" i="7" s="1"/>
  <c r="C13" i="7"/>
  <c r="C12" i="7"/>
  <c r="C11" i="7"/>
  <c r="C10" i="7"/>
  <c r="C9" i="7"/>
  <c r="E8" i="7"/>
  <c r="D8" i="7"/>
  <c r="D107" i="7" s="1"/>
  <c r="C8" i="7"/>
  <c r="M19" i="1"/>
  <c r="K19" i="1"/>
  <c r="M18" i="1"/>
  <c r="L18" i="1"/>
  <c r="H19" i="1"/>
  <c r="F19" i="1"/>
  <c r="H18" i="1"/>
  <c r="G18" i="1"/>
  <c r="C104" i="8"/>
  <c r="E108" i="8" l="1"/>
  <c r="E108" i="7"/>
  <c r="E109" i="8"/>
  <c r="E107" i="8"/>
  <c r="E107" i="7"/>
  <c r="Z14" i="1"/>
  <c r="W14" i="1"/>
  <c r="AK22" i="1" l="1"/>
  <c r="AJ22" i="1"/>
  <c r="AH22" i="1"/>
  <c r="AG22" i="1"/>
  <c r="AI18" i="1"/>
  <c r="AF18" i="1"/>
  <c r="I8" i="8" l="1"/>
  <c r="H8" i="8"/>
  <c r="I6" i="8"/>
  <c r="H6" i="8"/>
  <c r="H16" i="8" s="1"/>
  <c r="I5" i="8"/>
  <c r="E6" i="15" s="1"/>
  <c r="R15" i="16" s="1"/>
  <c r="H5" i="8"/>
  <c r="G5" i="8"/>
  <c r="C6" i="15" s="1"/>
  <c r="N15" i="16" s="1"/>
  <c r="C6" i="8"/>
  <c r="C5" i="8"/>
  <c r="I8" i="7"/>
  <c r="T11" i="7" s="1"/>
  <c r="H8" i="7"/>
  <c r="E26" i="7" s="1"/>
  <c r="I6" i="7"/>
  <c r="H6" i="7"/>
  <c r="H16" i="7" s="1"/>
  <c r="I5" i="7"/>
  <c r="E6" i="12" s="1"/>
  <c r="R15" i="14" s="1"/>
  <c r="H5" i="7"/>
  <c r="D6" i="12" s="1"/>
  <c r="P15" i="14" s="1"/>
  <c r="G5" i="7"/>
  <c r="C6" i="12" s="1"/>
  <c r="N15" i="14" s="1"/>
  <c r="C6" i="7"/>
  <c r="C5" i="7"/>
  <c r="F25" i="8"/>
  <c r="G25" i="8" s="1"/>
  <c r="H25" i="8" s="1"/>
  <c r="F24" i="8"/>
  <c r="G24" i="8" s="1"/>
  <c r="H24" i="8" s="1"/>
  <c r="F23" i="8"/>
  <c r="G23" i="8" s="1"/>
  <c r="H23" i="8" s="1"/>
  <c r="F22" i="8"/>
  <c r="G22" i="8" s="1"/>
  <c r="H22" i="8" s="1"/>
  <c r="F21" i="8"/>
  <c r="G21" i="8" s="1"/>
  <c r="H21" i="8" s="1"/>
  <c r="F20" i="8"/>
  <c r="G20" i="8" s="1"/>
  <c r="H20" i="8" s="1"/>
  <c r="F25" i="7"/>
  <c r="G25" i="7" s="1"/>
  <c r="H25" i="7" s="1"/>
  <c r="F24" i="7"/>
  <c r="G24" i="7" s="1"/>
  <c r="H24" i="7" s="1"/>
  <c r="F23" i="7"/>
  <c r="G23" i="7" s="1"/>
  <c r="H23" i="7" s="1"/>
  <c r="F22" i="7"/>
  <c r="G22" i="7" s="1"/>
  <c r="H22" i="7" s="1"/>
  <c r="F21" i="7"/>
  <c r="G21" i="7" s="1"/>
  <c r="H21" i="7" s="1"/>
  <c r="F20" i="7"/>
  <c r="G20" i="7" s="1"/>
  <c r="H20" i="7" s="1"/>
  <c r="C20" i="1"/>
  <c r="C21" i="1" s="1"/>
  <c r="B20" i="1"/>
  <c r="B21" i="1" s="1"/>
  <c r="C18" i="1"/>
  <c r="B18" i="1"/>
  <c r="C17" i="1"/>
  <c r="B17" i="1"/>
  <c r="C16" i="1"/>
  <c r="B16" i="1"/>
  <c r="C8" i="1"/>
  <c r="B8" i="1"/>
  <c r="Z29" i="1"/>
  <c r="T39" i="1" s="1"/>
  <c r="X29" i="1"/>
  <c r="BR5" i="1"/>
  <c r="C101" i="8" l="1"/>
  <c r="C103" i="8" s="1"/>
  <c r="E102" i="8" s="1"/>
  <c r="D6" i="15"/>
  <c r="P15" i="16" s="1"/>
  <c r="E26" i="8"/>
  <c r="T7" i="8" s="1"/>
  <c r="G16" i="8"/>
  <c r="T11" i="8"/>
  <c r="U13" i="8" s="1"/>
  <c r="U13" i="7"/>
  <c r="F26" i="7"/>
  <c r="G26" i="7" s="1"/>
  <c r="H26" i="7" s="1"/>
  <c r="C101" i="7"/>
  <c r="C103" i="7" s="1"/>
  <c r="J16" i="7"/>
  <c r="L20" i="7" s="1"/>
  <c r="J16" i="8"/>
  <c r="L20" i="8" s="1"/>
  <c r="B21" i="8"/>
  <c r="C21" i="8" s="1"/>
  <c r="E21" i="8" s="1"/>
  <c r="I21" i="8" s="1"/>
  <c r="B23" i="8"/>
  <c r="C23" i="8" s="1"/>
  <c r="E23" i="8" s="1"/>
  <c r="I23" i="8" s="1"/>
  <c r="B25" i="8"/>
  <c r="C25" i="8" s="1"/>
  <c r="E25" i="8" s="1"/>
  <c r="I25" i="8" s="1"/>
  <c r="B22" i="8"/>
  <c r="C22" i="8" s="1"/>
  <c r="E22" i="8" s="1"/>
  <c r="J22" i="8" s="1"/>
  <c r="B24" i="8"/>
  <c r="C24" i="8" s="1"/>
  <c r="E24" i="8" s="1"/>
  <c r="I24" i="8" s="1"/>
  <c r="B20" i="8"/>
  <c r="C20" i="8" s="1"/>
  <c r="E20" i="8" s="1"/>
  <c r="J20" i="8" s="1"/>
  <c r="B21" i="7"/>
  <c r="C21" i="7" s="1"/>
  <c r="E21" i="7" s="1"/>
  <c r="I21" i="7" s="1"/>
  <c r="B20" i="7"/>
  <c r="C20" i="7" s="1"/>
  <c r="E20" i="7" s="1"/>
  <c r="J20" i="7" s="1"/>
  <c r="B24" i="7"/>
  <c r="C24" i="7" s="1"/>
  <c r="E24" i="7" s="1"/>
  <c r="I24" i="7" s="1"/>
  <c r="B22" i="7"/>
  <c r="C22" i="7" s="1"/>
  <c r="E22" i="7" s="1"/>
  <c r="I22" i="7" s="1"/>
  <c r="B23" i="7"/>
  <c r="C23" i="7" s="1"/>
  <c r="E23" i="7" s="1"/>
  <c r="I23" i="7" s="1"/>
  <c r="B25" i="7"/>
  <c r="C25" i="7" s="1"/>
  <c r="E25" i="7" s="1"/>
  <c r="J25" i="7" s="1"/>
  <c r="H72" i="8"/>
  <c r="AI22" i="1" s="1"/>
  <c r="H72" i="7"/>
  <c r="AF22" i="1" s="1"/>
  <c r="M20" i="8"/>
  <c r="N20" i="8" s="1"/>
  <c r="O20" i="8" s="1"/>
  <c r="G17" i="8"/>
  <c r="M20" i="7"/>
  <c r="N20" i="7" s="1"/>
  <c r="O20" i="7" s="1"/>
  <c r="G17" i="7"/>
  <c r="H61" i="8"/>
  <c r="I61" i="8"/>
  <c r="J61" i="8" s="1"/>
  <c r="I61" i="7"/>
  <c r="J61" i="7" s="1"/>
  <c r="H61" i="7"/>
  <c r="F26" i="8"/>
  <c r="G26" i="8" s="1"/>
  <c r="H26" i="8" s="1"/>
  <c r="G16" i="7"/>
  <c r="M15" i="8"/>
  <c r="AA10" i="16" s="1"/>
  <c r="M15" i="7"/>
  <c r="AA10" i="14" s="1"/>
  <c r="B19" i="1"/>
  <c r="B22" i="1" s="1"/>
  <c r="C19" i="1"/>
  <c r="C22" i="1" s="1"/>
  <c r="A1" i="1"/>
  <c r="A2" i="1" s="1"/>
  <c r="P20" i="8" l="1"/>
  <c r="U8" i="8"/>
  <c r="T8" i="8"/>
  <c r="T12" i="8" s="1"/>
  <c r="T13" i="8" s="1"/>
  <c r="T14" i="8" s="1"/>
  <c r="P20" i="7"/>
  <c r="J26" i="8"/>
  <c r="Z13" i="1"/>
  <c r="N6" i="16" s="1"/>
  <c r="W13" i="1"/>
  <c r="N6" i="14" s="1"/>
  <c r="S32" i="9"/>
  <c r="S35" i="9" s="1"/>
  <c r="I7" i="7" s="1"/>
  <c r="F27" i="7" s="1"/>
  <c r="G27" i="7" s="1"/>
  <c r="H27" i="7" s="1"/>
  <c r="S32" i="10"/>
  <c r="S35" i="10" s="1"/>
  <c r="I7" i="8" s="1"/>
  <c r="F27" i="8" s="1"/>
  <c r="G27" i="8" s="1"/>
  <c r="H27" i="8" s="1"/>
  <c r="J26" i="7"/>
  <c r="T7" i="7"/>
  <c r="Q20" i="7"/>
  <c r="Q20" i="8"/>
  <c r="L61" i="8"/>
  <c r="K61" i="8"/>
  <c r="J25" i="8"/>
  <c r="L61" i="7"/>
  <c r="K61" i="7"/>
  <c r="I26" i="8"/>
  <c r="I26" i="7"/>
  <c r="J24" i="8"/>
  <c r="J21" i="8"/>
  <c r="I22" i="8"/>
  <c r="I20" i="8"/>
  <c r="J22" i="7"/>
  <c r="J23" i="7"/>
  <c r="I20" i="7"/>
  <c r="J23" i="8"/>
  <c r="I25" i="7"/>
  <c r="J24" i="7"/>
  <c r="J21" i="7"/>
  <c r="A3" i="1"/>
  <c r="A4" i="1" s="1"/>
  <c r="W7" i="1"/>
  <c r="BM5" i="1"/>
  <c r="BL15" i="1" s="1"/>
  <c r="S23" i="1"/>
  <c r="O23" i="1"/>
  <c r="BM15" i="1"/>
  <c r="BT5" i="1"/>
  <c r="BS5" i="1"/>
  <c r="BQ5" i="1"/>
  <c r="BO5" i="1"/>
  <c r="BN5" i="1"/>
  <c r="BL5" i="1"/>
  <c r="W8" i="1"/>
  <c r="AK27" i="1"/>
  <c r="AJ27" i="1"/>
  <c r="AI27" i="1"/>
  <c r="AH27" i="1"/>
  <c r="AG27" i="1"/>
  <c r="AF27" i="1"/>
  <c r="AK26" i="1"/>
  <c r="AJ26" i="1"/>
  <c r="AI26" i="1"/>
  <c r="AH26" i="1"/>
  <c r="AG26" i="1"/>
  <c r="AF26" i="1"/>
  <c r="AK25" i="1"/>
  <c r="AJ25" i="1"/>
  <c r="AI25" i="1"/>
  <c r="AH25" i="1"/>
  <c r="AG25" i="1"/>
  <c r="AF25" i="1"/>
  <c r="AK24" i="1"/>
  <c r="AJ24" i="1"/>
  <c r="AI24" i="1"/>
  <c r="AH24" i="1"/>
  <c r="AG24" i="1"/>
  <c r="AF24" i="1"/>
  <c r="AK18" i="1"/>
  <c r="AJ18" i="1"/>
  <c r="AH18" i="1"/>
  <c r="AG18" i="1"/>
  <c r="AK17" i="1"/>
  <c r="AJ17" i="1"/>
  <c r="AI17" i="1"/>
  <c r="AH17" i="1"/>
  <c r="AG17" i="1"/>
  <c r="AF17" i="1"/>
  <c r="BA10" i="1"/>
  <c r="AW10" i="1"/>
  <c r="CP5" i="1" s="1"/>
  <c r="BB7" i="1"/>
  <c r="CR20" i="1" s="1"/>
  <c r="AW7" i="1"/>
  <c r="AH7" i="1"/>
  <c r="AH10" i="1" s="1"/>
  <c r="AG7" i="1"/>
  <c r="AG10" i="1" s="1"/>
  <c r="AL5" i="1"/>
  <c r="AJ5" i="1"/>
  <c r="K70" i="8" l="1"/>
  <c r="K70" i="7"/>
  <c r="R32" i="10"/>
  <c r="R35" i="10" s="1"/>
  <c r="H7" i="8" s="1"/>
  <c r="E27" i="8" s="1"/>
  <c r="I27" i="8" s="1"/>
  <c r="T8" i="7"/>
  <c r="U8" i="7"/>
  <c r="CR6" i="1"/>
  <c r="CT5" i="1"/>
  <c r="CR5" i="1"/>
  <c r="CN6" i="1"/>
  <c r="CN5" i="1"/>
  <c r="J29" i="8"/>
  <c r="I29" i="8"/>
  <c r="I29" i="7"/>
  <c r="J29" i="7"/>
  <c r="AK10" i="1"/>
  <c r="B1" i="1"/>
  <c r="B2" i="1" s="1"/>
  <c r="AH21" i="1"/>
  <c r="AH12" i="1"/>
  <c r="AG12" i="1"/>
  <c r="AD9" i="1"/>
  <c r="AJ10" i="1"/>
  <c r="AD10" i="1"/>
  <c r="CR4" i="1"/>
  <c r="CR23" i="1"/>
  <c r="CT4" i="1"/>
  <c r="CR21" i="1"/>
  <c r="CR22" i="1"/>
  <c r="CT6" i="1"/>
  <c r="CN21" i="1"/>
  <c r="CP4" i="1"/>
  <c r="CN22" i="1"/>
  <c r="CN20" i="1"/>
  <c r="CN23" i="1"/>
  <c r="CP6" i="1"/>
  <c r="CN4" i="1"/>
  <c r="BP15" i="1"/>
  <c r="BP17" i="1" s="1"/>
  <c r="CT13" i="1" s="1"/>
  <c r="BO15" i="1"/>
  <c r="BO17" i="1" s="1"/>
  <c r="CP13" i="1" s="1"/>
  <c r="AK5" i="1"/>
  <c r="AK20" i="1"/>
  <c r="AK21" i="1"/>
  <c r="AI5" i="1"/>
  <c r="AF20" i="1"/>
  <c r="AH20" i="1"/>
  <c r="AG20" i="1"/>
  <c r="AI20" i="1"/>
  <c r="AJ20" i="1"/>
  <c r="T12" i="7" l="1"/>
  <c r="T13" i="7" s="1"/>
  <c r="T14" i="7" s="1"/>
  <c r="R32" i="9" s="1"/>
  <c r="R35" i="9" s="1"/>
  <c r="H7" i="7" s="1"/>
  <c r="I30" i="8"/>
  <c r="I28" i="8"/>
  <c r="J27" i="8"/>
  <c r="H17" i="8"/>
  <c r="C40" i="8"/>
  <c r="D40" i="8" s="1"/>
  <c r="H9" i="8" s="1"/>
  <c r="K76" i="8" s="1"/>
  <c r="N10" i="16" s="1"/>
  <c r="C41" i="8"/>
  <c r="C42" i="8" s="1"/>
  <c r="D42" i="8" s="1"/>
  <c r="E42" i="8" s="1"/>
  <c r="I9" i="8" s="1"/>
  <c r="C40" i="7"/>
  <c r="D40" i="7" s="1"/>
  <c r="H9" i="7" s="1"/>
  <c r="K76" i="7" s="1"/>
  <c r="N10" i="14" s="1"/>
  <c r="C41" i="7"/>
  <c r="C42" i="7" s="1"/>
  <c r="D42" i="7" s="1"/>
  <c r="E42" i="7" s="1"/>
  <c r="I9" i="7" s="1"/>
  <c r="AD11" i="1"/>
  <c r="AE11" i="1" s="1"/>
  <c r="AD14" i="1"/>
  <c r="AE14" i="1" s="1"/>
  <c r="AD12" i="1"/>
  <c r="AE12" i="1" s="1"/>
  <c r="AD16" i="1"/>
  <c r="AE16" i="1" s="1"/>
  <c r="CT12" i="1"/>
  <c r="U25" i="1" s="1"/>
  <c r="CT16" i="1"/>
  <c r="U29" i="1" s="1"/>
  <c r="CT15" i="1"/>
  <c r="U28" i="1" s="1"/>
  <c r="CP15" i="1"/>
  <c r="Q28" i="1" s="1"/>
  <c r="CP16" i="1"/>
  <c r="Q29" i="1" s="1"/>
  <c r="CR16" i="1"/>
  <c r="S29" i="1" s="1"/>
  <c r="CR15" i="1"/>
  <c r="S28" i="1" s="1"/>
  <c r="CR14" i="1"/>
  <c r="S27" i="1" s="1"/>
  <c r="CR12" i="1"/>
  <c r="S25" i="1" s="1"/>
  <c r="CR13" i="1"/>
  <c r="S26" i="1" s="1"/>
  <c r="CN16" i="1"/>
  <c r="O29" i="1" s="1"/>
  <c r="CN15" i="1"/>
  <c r="O28" i="1" s="1"/>
  <c r="CN14" i="1"/>
  <c r="O27" i="1" s="1"/>
  <c r="CP12" i="1"/>
  <c r="Q25" i="1" s="1"/>
  <c r="CN12" i="1"/>
  <c r="O25" i="1" s="1"/>
  <c r="CN13" i="1"/>
  <c r="O26" i="1" s="1"/>
  <c r="CT11" i="1"/>
  <c r="U24" i="1" s="1"/>
  <c r="CT14" i="1"/>
  <c r="U27" i="1" s="1"/>
  <c r="U26" i="1"/>
  <c r="CR11" i="1"/>
  <c r="S24" i="1" s="1"/>
  <c r="CP14" i="1"/>
  <c r="Q27" i="1" s="1"/>
  <c r="CN11" i="1"/>
  <c r="O24" i="1" s="1"/>
  <c r="Q26" i="1"/>
  <c r="CP11" i="1"/>
  <c r="Q24" i="1" s="1"/>
  <c r="I62" i="8" l="1"/>
  <c r="J62" i="8" s="1"/>
  <c r="D12" i="15"/>
  <c r="B12" i="15"/>
  <c r="I62" i="7"/>
  <c r="J62" i="7" s="1"/>
  <c r="D12" i="12"/>
  <c r="B12" i="12"/>
  <c r="J30" i="8"/>
  <c r="C36" i="8" s="1"/>
  <c r="C37" i="8" s="1"/>
  <c r="D37" i="8" s="1"/>
  <c r="E37" i="8" s="1"/>
  <c r="I10" i="8" s="1"/>
  <c r="D9" i="15" s="1"/>
  <c r="J28" i="8"/>
  <c r="H17" i="7"/>
  <c r="H62" i="7"/>
  <c r="H62" i="8"/>
  <c r="AK13" i="1"/>
  <c r="AJ21" i="1"/>
  <c r="AK14" i="1"/>
  <c r="AI21" i="1" s="1"/>
  <c r="AJ14" i="1"/>
  <c r="AF21" i="1" s="1"/>
  <c r="AG21" i="1"/>
  <c r="AJ13" i="1"/>
  <c r="K62" i="7" l="1"/>
  <c r="K63" i="7" s="1"/>
  <c r="I43" i="8"/>
  <c r="J43" i="8" s="1"/>
  <c r="K43" i="8" s="1"/>
  <c r="I52" i="8"/>
  <c r="J52" i="8" s="1"/>
  <c r="H36" i="8"/>
  <c r="H37" i="8" s="1"/>
  <c r="I37" i="8" s="1"/>
  <c r="J37" i="8" s="1"/>
  <c r="M21" i="8" s="1"/>
  <c r="N21" i="8" s="1"/>
  <c r="O21" i="8" s="1"/>
  <c r="H35" i="8"/>
  <c r="I35" i="8" s="1"/>
  <c r="L21" i="8" s="1"/>
  <c r="C35" i="8"/>
  <c r="D35" i="8" s="1"/>
  <c r="E27" i="7"/>
  <c r="J27" i="7" s="1"/>
  <c r="L62" i="7"/>
  <c r="L63" i="7" s="1"/>
  <c r="L62" i="8"/>
  <c r="L63" i="8" s="1"/>
  <c r="K62" i="8"/>
  <c r="K63" i="8" s="1"/>
  <c r="I66" i="7" l="1"/>
  <c r="I67" i="7" s="1"/>
  <c r="J67" i="7" s="1"/>
  <c r="K67" i="7" s="1"/>
  <c r="J71" i="7" s="1"/>
  <c r="H10" i="8"/>
  <c r="H43" i="8"/>
  <c r="M43" i="8" s="1"/>
  <c r="H52" i="8"/>
  <c r="Q21" i="8"/>
  <c r="Q23" i="8" s="1"/>
  <c r="P21" i="8"/>
  <c r="P23" i="8" s="1"/>
  <c r="I27" i="7"/>
  <c r="I28" i="7" s="1"/>
  <c r="J28" i="7"/>
  <c r="J30" i="7"/>
  <c r="I65" i="7"/>
  <c r="J65" i="7" s="1"/>
  <c r="I65" i="8"/>
  <c r="J65" i="8" s="1"/>
  <c r="I71" i="8" s="1"/>
  <c r="I66" i="8"/>
  <c r="I67" i="8" s="1"/>
  <c r="J67" i="8" s="1"/>
  <c r="K67" i="8" s="1"/>
  <c r="J71" i="8" s="1"/>
  <c r="AK23" i="1" s="1"/>
  <c r="AH23" i="1" l="1"/>
  <c r="R27" i="14"/>
  <c r="R20" i="14" s="1"/>
  <c r="P25" i="8"/>
  <c r="H53" i="8" s="1"/>
  <c r="K71" i="8"/>
  <c r="B9" i="15"/>
  <c r="P26" i="8"/>
  <c r="P27" i="8" s="1"/>
  <c r="Q27" i="8" s="1"/>
  <c r="R27" i="8" s="1"/>
  <c r="I53" i="8" s="1"/>
  <c r="J53" i="8" s="1"/>
  <c r="L52" i="8"/>
  <c r="K52" i="8"/>
  <c r="L43" i="8"/>
  <c r="I30" i="7"/>
  <c r="C35" i="7" s="1"/>
  <c r="D35" i="7" s="1"/>
  <c r="H52" i="7" s="1"/>
  <c r="H35" i="7"/>
  <c r="I35" i="7" s="1"/>
  <c r="L21" i="7" s="1"/>
  <c r="H36" i="7"/>
  <c r="H37" i="7" s="1"/>
  <c r="I37" i="7" s="1"/>
  <c r="J37" i="7" s="1"/>
  <c r="M21" i="7" s="1"/>
  <c r="N21" i="7" s="1"/>
  <c r="O21" i="7" s="1"/>
  <c r="AJ23" i="1"/>
  <c r="I71" i="7"/>
  <c r="D65" i="7"/>
  <c r="E65" i="7" s="1"/>
  <c r="F65" i="7" s="1"/>
  <c r="F66" i="7" s="1"/>
  <c r="D65" i="8"/>
  <c r="E65" i="8" s="1"/>
  <c r="F65" i="8" s="1"/>
  <c r="F66" i="8" s="1"/>
  <c r="X41" i="1" l="1"/>
  <c r="Y50" i="1"/>
  <c r="L53" i="8"/>
  <c r="L54" i="8" s="1"/>
  <c r="R25" i="8"/>
  <c r="S25" i="8" s="1"/>
  <c r="T25" i="8" s="1"/>
  <c r="E31" i="8" s="1"/>
  <c r="H42" i="8" s="1"/>
  <c r="K53" i="8"/>
  <c r="K54" i="8" s="1"/>
  <c r="I11" i="8"/>
  <c r="D15" i="15" s="1"/>
  <c r="F31" i="8"/>
  <c r="C36" i="7"/>
  <c r="C37" i="7" s="1"/>
  <c r="D37" i="7" s="1"/>
  <c r="E37" i="7" s="1"/>
  <c r="I52" i="7" s="1"/>
  <c r="J52" i="7" s="1"/>
  <c r="K52" i="7" s="1"/>
  <c r="P21" i="7"/>
  <c r="P23" i="7" s="1"/>
  <c r="H43" i="7"/>
  <c r="H10" i="7"/>
  <c r="K71" i="7" s="1"/>
  <c r="Q21" i="7"/>
  <c r="Q23" i="7" s="1"/>
  <c r="AG23" i="1"/>
  <c r="H71" i="8"/>
  <c r="AI23" i="1" s="1"/>
  <c r="H71" i="7"/>
  <c r="AF23" i="1" s="1"/>
  <c r="I56" i="8" l="1"/>
  <c r="H11" i="8"/>
  <c r="B15" i="15" s="1"/>
  <c r="B9" i="12"/>
  <c r="I57" i="8"/>
  <c r="I58" i="8" s="1"/>
  <c r="J58" i="8" s="1"/>
  <c r="K57" i="8" s="1"/>
  <c r="G18" i="8" s="1"/>
  <c r="I12" i="8" s="1"/>
  <c r="J70" i="8" s="1"/>
  <c r="R27" i="16" s="1"/>
  <c r="R20" i="16" s="1"/>
  <c r="G31" i="8"/>
  <c r="H31" i="8" s="1"/>
  <c r="I42" i="8"/>
  <c r="J42" i="8" s="1"/>
  <c r="K42" i="8" s="1"/>
  <c r="I10" i="7"/>
  <c r="D9" i="12" s="1"/>
  <c r="I43" i="7"/>
  <c r="J43" i="7" s="1"/>
  <c r="K43" i="7" s="1"/>
  <c r="L43" i="7" s="1"/>
  <c r="P26" i="7"/>
  <c r="P27" i="7" s="1"/>
  <c r="Q27" i="7" s="1"/>
  <c r="R27" i="7" s="1"/>
  <c r="I53" i="7" s="1"/>
  <c r="J53" i="7" s="1"/>
  <c r="L52" i="7"/>
  <c r="P25" i="7"/>
  <c r="Z41" i="1" l="1"/>
  <c r="Z50" i="1"/>
  <c r="L42" i="8"/>
  <c r="L44" i="8" s="1"/>
  <c r="M42" i="8"/>
  <c r="M44" i="8" s="1"/>
  <c r="I31" i="8"/>
  <c r="I32" i="8" s="1"/>
  <c r="J31" i="8"/>
  <c r="J32" i="8" s="1"/>
  <c r="M43" i="7"/>
  <c r="F31" i="7"/>
  <c r="G31" i="7" s="1"/>
  <c r="H31" i="7" s="1"/>
  <c r="I11" i="7"/>
  <c r="D15" i="12" s="1"/>
  <c r="R25" i="7"/>
  <c r="H53" i="7"/>
  <c r="AK19" i="1"/>
  <c r="E70" i="8"/>
  <c r="I47" i="8" l="1"/>
  <c r="I48" i="8" s="1"/>
  <c r="J48" i="8" s="1"/>
  <c r="K48" i="8" s="1"/>
  <c r="M34" i="8"/>
  <c r="N34" i="8" s="1"/>
  <c r="M35" i="8"/>
  <c r="M36" i="8" s="1"/>
  <c r="N36" i="8" s="1"/>
  <c r="O36" i="8" s="1"/>
  <c r="I46" i="8"/>
  <c r="J46" i="8" s="1"/>
  <c r="H12" i="8" s="1"/>
  <c r="I42" i="7"/>
  <c r="J42" i="7" s="1"/>
  <c r="K42" i="7" s="1"/>
  <c r="K53" i="7"/>
  <c r="K54" i="7" s="1"/>
  <c r="L53" i="7"/>
  <c r="L54" i="7" s="1"/>
  <c r="H11" i="7"/>
  <c r="B15" i="12" s="1"/>
  <c r="S25" i="7"/>
  <c r="T25" i="7" s="1"/>
  <c r="E31" i="7" s="1"/>
  <c r="I70" i="8" l="1"/>
  <c r="Q27" i="16" s="1"/>
  <c r="P20" i="16" s="1"/>
  <c r="M14" i="8"/>
  <c r="N14" i="8" s="1"/>
  <c r="O14" i="8" s="1"/>
  <c r="D70" i="8"/>
  <c r="AJ19" i="1"/>
  <c r="H42" i="7"/>
  <c r="I31" i="7"/>
  <c r="I32" i="7" s="1"/>
  <c r="J31" i="7"/>
  <c r="J32" i="7" s="1"/>
  <c r="I57" i="7"/>
  <c r="I58" i="7" s="1"/>
  <c r="J58" i="7" s="1"/>
  <c r="K57" i="7" s="1"/>
  <c r="G18" i="7" s="1"/>
  <c r="I12" i="7" s="1"/>
  <c r="J70" i="7" s="1"/>
  <c r="I56" i="7"/>
  <c r="Z39" i="1" l="1"/>
  <c r="Z49" i="1"/>
  <c r="P14" i="8"/>
  <c r="L5" i="8" s="1"/>
  <c r="H70" i="8" s="1"/>
  <c r="P28" i="16"/>
  <c r="M35" i="7"/>
  <c r="M36" i="7" s="1"/>
  <c r="N36" i="7" s="1"/>
  <c r="O36" i="7" s="1"/>
  <c r="M34" i="7"/>
  <c r="N34" i="7" s="1"/>
  <c r="M42" i="7"/>
  <c r="M44" i="7" s="1"/>
  <c r="L42" i="7"/>
  <c r="L44" i="7" s="1"/>
  <c r="AH19" i="1"/>
  <c r="E70" i="7"/>
  <c r="C70" i="8" l="1"/>
  <c r="AI19" i="1"/>
  <c r="AG32" i="1" s="1"/>
  <c r="L7" i="8"/>
  <c r="P27" i="16"/>
  <c r="Z26" i="16" s="1"/>
  <c r="W30" i="16" s="1"/>
  <c r="AR13" i="1"/>
  <c r="C102" i="8"/>
  <c r="Z34" i="1"/>
  <c r="I47" i="7"/>
  <c r="I48" i="7" s="1"/>
  <c r="J48" i="7" s="1"/>
  <c r="K48" i="7" s="1"/>
  <c r="I46" i="7"/>
  <c r="J46" i="7" s="1"/>
  <c r="H12" i="7" s="1"/>
  <c r="W31" i="16" l="1"/>
  <c r="W32" i="16" s="1"/>
  <c r="Z32" i="16" s="1"/>
  <c r="N20" i="16" s="1"/>
  <c r="Z48" i="1" s="1"/>
  <c r="AA32" i="1"/>
  <c r="AA31" i="1"/>
  <c r="Z30" i="1"/>
  <c r="AA30" i="1"/>
  <c r="Z32" i="1"/>
  <c r="Z31" i="1"/>
  <c r="AR16" i="1"/>
  <c r="S15" i="1" s="1"/>
  <c r="S18" i="1" s="1"/>
  <c r="AR19" i="1" s="1"/>
  <c r="S21" i="1" s="1"/>
  <c r="W4" i="1" s="1"/>
  <c r="I70" i="7"/>
  <c r="Q27" i="14" s="1"/>
  <c r="P20" i="14" s="1"/>
  <c r="AG19" i="1"/>
  <c r="M14" i="7"/>
  <c r="N14" i="7" s="1"/>
  <c r="O14" i="7" s="1"/>
  <c r="D70" i="7"/>
  <c r="X39" i="1" l="1"/>
  <c r="Y49" i="1"/>
  <c r="Z37" i="1"/>
  <c r="P14" i="7"/>
  <c r="L5" i="7" s="1"/>
  <c r="C70" i="7" s="1"/>
  <c r="P28" i="14"/>
  <c r="AF19" i="1" l="1"/>
  <c r="AF32" i="1" s="1"/>
  <c r="E13" i="1" s="1"/>
  <c r="H70" i="7"/>
  <c r="C102" i="7" s="1"/>
  <c r="C104" i="7" s="1"/>
  <c r="E102" i="7" s="1"/>
  <c r="L7" i="7" s="1"/>
  <c r="X34" i="1"/>
  <c r="AM13" i="1" l="1"/>
  <c r="P27" i="14"/>
  <c r="Z26" i="14" s="1"/>
  <c r="X32" i="1"/>
  <c r="Y31" i="1"/>
  <c r="Y32" i="1"/>
  <c r="X31" i="1"/>
  <c r="Y30" i="1"/>
  <c r="X30" i="1"/>
  <c r="W30" i="14" l="1"/>
  <c r="AM16" i="1"/>
  <c r="O15" i="1" s="1"/>
  <c r="O18" i="1" s="1"/>
  <c r="AM19" i="1" s="1"/>
  <c r="O21" i="1" l="1"/>
  <c r="W3" i="1" s="1"/>
  <c r="W31" i="14"/>
  <c r="W32" i="14" s="1"/>
  <c r="Z32" i="14" s="1"/>
  <c r="N20" i="14" s="1"/>
  <c r="X37" i="1" s="1"/>
  <c r="Y48" i="1" l="1"/>
</calcChain>
</file>

<file path=xl/sharedStrings.xml><?xml version="1.0" encoding="utf-8"?>
<sst xmlns="http://schemas.openxmlformats.org/spreadsheetml/2006/main" count="768" uniqueCount="337">
  <si>
    <t>DOCTOR NAME</t>
  </si>
  <si>
    <t>SURGERY DATE</t>
  </si>
  <si>
    <t>COMMENTS</t>
  </si>
  <si>
    <t>PATIENT NAME</t>
  </si>
  <si>
    <t>PATIENT ID</t>
  </si>
  <si>
    <t>RE T ABS</t>
  </si>
  <si>
    <t>RE CYL ABS</t>
  </si>
  <si>
    <t>LE T ABS</t>
  </si>
  <si>
    <t>LE CYL ABS</t>
  </si>
  <si>
    <t>FORMULA LINK</t>
  </si>
  <si>
    <t>ROUGH CALCULATORS: NOT TO DISTURB</t>
  </si>
  <si>
    <t>RE AB</t>
  </si>
  <si>
    <t>LE AB</t>
  </si>
  <si>
    <t>RE WTW</t>
  </si>
  <si>
    <t>LE WTW</t>
  </si>
  <si>
    <t>RE REFRACTION</t>
  </si>
  <si>
    <t>LE REFRACTION</t>
  </si>
  <si>
    <t>SPHERE</t>
  </si>
  <si>
    <t>CYL</t>
  </si>
  <si>
    <t>AXIS</t>
  </si>
  <si>
    <t>VA</t>
  </si>
  <si>
    <t>RE OPTIC ZONE</t>
  </si>
  <si>
    <t>LE OPTIC ZONE</t>
  </si>
  <si>
    <t>RE TMR</t>
  </si>
  <si>
    <t>LE TMR</t>
  </si>
  <si>
    <t>RE SE</t>
  </si>
  <si>
    <t>LE SE</t>
  </si>
  <si>
    <t>STEEPEST K</t>
  </si>
  <si>
    <t>RE INTENDED CORRECTION</t>
  </si>
  <si>
    <t>LE INTENDED CORRECTION</t>
  </si>
  <si>
    <t>RE FLAP THICKNESS</t>
  </si>
  <si>
    <t>LE FLAP THICKNESS</t>
  </si>
  <si>
    <t>RE MK RING SIZE</t>
  </si>
  <si>
    <t>LE MK RING SIZE</t>
  </si>
  <si>
    <t>$=IF(OR(AND(AS9&lt;=40, AS6&gt;8), AND(AS9=41, AS6&gt;=11), AND(AS9=42, AS6&gt;12)), "-1", "")</t>
  </si>
  <si>
    <t>$=IF(OR(AND(AS9=41, AS6&lt;11), AND(AS9=42, AS6&lt;=12), AND(AS9=43=44, AS6&gt;=11), AND(AS9=45, AS6&gt;12)), "0", "")</t>
  </si>
  <si>
    <t>$=IF(OR(AND(AS9=43=44, AS6&lt;11), AND(AS9=45, AS6&lt;=12), AND(AS9=46, AS6&gt;=11), AND(AS9=47, AS6&gt;12)), "1", "")</t>
  </si>
  <si>
    <t>$=IF(OR(AND(AS9=46, AS6&lt;11), AND(AS9=47, AS6&lt;=12), AND(AS9&gt;=48, AS6&gt;8)), "2", "")</t>
  </si>
  <si>
    <t>$=IF(OR(AND(AW9&lt;=40, AX6&gt;8), AND(AW9=41, AX6&gt;=11), AND(AW9=42, AX6&gt;12)), "0", "")</t>
  </si>
  <si>
    <t>$=IF(OR(AND(AW9=41, AX6&lt;11), AND(AW9=42, AX6&lt;=12), AND(AW9=43=44, AX6&gt;=11), AND(AW9=45, AX6&gt;12)), "0", "")</t>
  </si>
  <si>
    <t>$=IF(OR(AND(AW9=43=44, AX6&lt;11), AND(AW9=45, AX6&lt;=12), AND(AW9=46, AX6&gt;=11), AND(AW9=47, AX6&gt;12)), "1", "")</t>
  </si>
  <si>
    <t>$=IF(OR(AND(AW9=46, AX6&lt;11), AND(AW9=47, AX6&lt;=12), AND(AW9&gt;=48, AX6&gt;8)), "2", "")</t>
  </si>
  <si>
    <t>RE CORNEAL TOPOGRAPHY</t>
  </si>
  <si>
    <t>LE CORNEAL TOPOGRAPHY</t>
  </si>
  <si>
    <t>RE ABLATION DEPTH</t>
  </si>
  <si>
    <t>LE ABLATION DEPTH</t>
  </si>
  <si>
    <t>WAVEFRONT OPTIMIZED</t>
  </si>
  <si>
    <t>&lt;11</t>
  </si>
  <si>
    <t>11-12</t>
  </si>
  <si>
    <t>&gt;12</t>
  </si>
  <si>
    <t>RE PTA</t>
  </si>
  <si>
    <t>LE PTA</t>
  </si>
  <si>
    <t>CEN AB</t>
  </si>
  <si>
    <t>MAX AB</t>
  </si>
  <si>
    <t>RE RSB</t>
  </si>
  <si>
    <t>LE RSB</t>
  </si>
  <si>
    <t>RE PACHYMETRY</t>
  </si>
  <si>
    <t>LE PACHYMETRY</t>
  </si>
  <si>
    <t>RIGHT EYE</t>
  </si>
  <si>
    <t>LEFT EYE</t>
  </si>
  <si>
    <t>RE MESOPIC PUPIL SIZE</t>
  </si>
  <si>
    <t>LE MESOPIC PUPIL SIZE</t>
  </si>
  <si>
    <t>RE MONOVISION -1.5D</t>
  </si>
  <si>
    <t>RE MICROMONOVISION -0.75D</t>
  </si>
  <si>
    <t>LE MONOVISION -1.5D</t>
  </si>
  <si>
    <t>LE MICRO-MONOVISION -0.75D</t>
  </si>
  <si>
    <t>SPH</t>
  </si>
  <si>
    <t>K F</t>
  </si>
  <si>
    <t>K S</t>
  </si>
  <si>
    <t>R INTENDED S</t>
  </si>
  <si>
    <t>L INTENDED S</t>
  </si>
  <si>
    <t>RE CUS SE</t>
  </si>
  <si>
    <t>LE CUS SE</t>
  </si>
  <si>
    <t>ENTER CUSTOM CYL</t>
  </si>
  <si>
    <t>ENTER CYL VALUE</t>
  </si>
  <si>
    <t>$=IF(OR(AND(AND(AW10=41, AW7&gt;=11), AND(AW10=42, AW7&gt;12)), "RING -1, STOP 8", "")</t>
  </si>
  <si>
    <t>$=IF(AW10&lt;=40, "RING -1, STOP 7.5", "")</t>
  </si>
  <si>
    <t>$=IF(OR(AND(AW10=41, AW7&lt;11), AND(AW10=42, AW7&lt;=12)), "RING 0, STOP 7.5", "")</t>
  </si>
  <si>
    <t>$=IF(OR(AND(AW10=43, AW7&gt;=11), AND(AW10=44, AW7&gt;=11), AND(AW10=45, AW7&gt;12)), "RING 0, STOP 8", "")</t>
  </si>
  <si>
    <t>$=IF(OR(AND(BA10=41, BB7&gt;=11), AND(BA10=42, BB7&gt;12)), "RING -1, STOP 8", "")</t>
  </si>
  <si>
    <t>$=IF(OR(AND(BA10&lt;=40, "RING -1, STOP 7.5", "")</t>
  </si>
  <si>
    <t>$=IF(OR(AND(BA10=41, BB7&lt;11), AND(BA10=42, BB7&lt;=12)), "RING 0, STOP 7.5", "")</t>
  </si>
  <si>
    <t>$=IF(OR(AND(BA10=43, BB7&gt;=11), AND(BA10=44, BB7&gt;=11), AND(BA10=45, BB7&gt;12)), "RING 0, STOP 8", "")</t>
  </si>
  <si>
    <t>RE MICROKERATOME</t>
  </si>
  <si>
    <t>LE MICROKERATOME</t>
  </si>
  <si>
    <t>SBK</t>
  </si>
  <si>
    <t>-1, 8</t>
  </si>
  <si>
    <t>0, 7.5</t>
  </si>
  <si>
    <t>-1, 8.5</t>
  </si>
  <si>
    <t>1, 7.5</t>
  </si>
  <si>
    <t>0, 8.5</t>
  </si>
  <si>
    <t>1, 8</t>
  </si>
  <si>
    <t>2, 7.5</t>
  </si>
  <si>
    <t>3, 7.5</t>
  </si>
  <si>
    <t>1, 8.5</t>
  </si>
  <si>
    <t>2, 8</t>
  </si>
  <si>
    <t>2, 8.5</t>
  </si>
  <si>
    <t>3, 8</t>
  </si>
  <si>
    <t>41-42</t>
  </si>
  <si>
    <t>43-44</t>
  </si>
  <si>
    <t>&gt;=47</t>
  </si>
  <si>
    <t>&lt;=40</t>
  </si>
  <si>
    <t>RE KH</t>
  </si>
  <si>
    <t>LE KH</t>
  </si>
  <si>
    <t>RE KFO</t>
  </si>
  <si>
    <t>LE KFO</t>
  </si>
  <si>
    <t>KF</t>
  </si>
  <si>
    <t>FA</t>
  </si>
  <si>
    <t>KS</t>
  </si>
  <si>
    <t>SA</t>
  </si>
  <si>
    <t>RE</t>
  </si>
  <si>
    <t>LE</t>
  </si>
  <si>
    <t>$=IF(AND(BO17&lt;=40, AW7&gt;=11), "RING -1, STOP 8", "")</t>
  </si>
  <si>
    <t>$=IF(AND(BP17&lt;=40, BB7&gt;=11), "RING -1, STOP 8", "")</t>
  </si>
  <si>
    <t>$=IF(AND(41&lt;=BO17&lt;=42, AW7&gt;11), "RING -1, STOP 8.5", "")</t>
  </si>
  <si>
    <t>$=IF(AND(41&lt;=BP17&lt;=42, BB7&gt;11), "RING -1, STOP 8.5", "")</t>
  </si>
  <si>
    <t>$=IF(OR(AND(BO17&lt;=40, AW7&lt;11), AND(41&lt;=BO17&lt;=42, 11&lt;=AW7&lt;=12)), "RING 0, STOP 7.5", "")</t>
  </si>
  <si>
    <t>$=IF(OR(AND(BP17&lt;=40, BB7&lt;11), AND(41&lt;=BP17&lt;=42, 11&lt;=BB7&lt;=12)), "RING 0, STOP 7.5", "")</t>
  </si>
  <si>
    <t>$=IF(AND(43&lt;=BO17&lt;=44, AW7&gt;12 "RING 0, STOP 8.5", "")</t>
  </si>
  <si>
    <t>$=IF(AND(43&lt;=BP17&lt;=44, BB7&gt;12 "RING 0, STOP 8.5", "")</t>
  </si>
  <si>
    <t>$=IF(AND(41&lt;=BO17&lt;=42, AW7&lt;11), "RING 1, STOP 7.5", "")</t>
  </si>
  <si>
    <t>$=IF(AND(41&lt;=BP17&lt;=42, BB7&lt;11), "RING 1, STOP 7.5", "")</t>
  </si>
  <si>
    <t>$=IF(AND(43&lt;=BO17&lt;=44, 11&lt;=AW7&lt;=12), "RING 1, STOP 8", "")</t>
  </si>
  <si>
    <t>$=IF(AND(43&lt;=BP17&lt;=44, 11&lt;=BB7&lt;=12), "RING 1, STOP 8", "")</t>
  </si>
  <si>
    <t>$=IF(AND(BO17=45, AW7&gt;12), "RING 1, STOP 8.5", "")</t>
  </si>
  <si>
    <t>$=IF(AND(BP17=45, BB7&gt;12), "RING 1, STOP 8.5", "")</t>
  </si>
  <si>
    <t>$=IF(AND(43&lt;=BO17&lt;=44, AW&lt;11), "RING 2, STOP 7.5", "")</t>
  </si>
  <si>
    <t>$=IF(AND(43&lt;=BP17&lt;=44, BB&lt;11), "RING 2, STOP 7.5", "")</t>
  </si>
  <si>
    <t>$=IF(AND(BO17=46, AW7&gt;12), "RING 2, STOP 8", "")</t>
  </si>
  <si>
    <t>$=IF(AND(BP17=46, BB7&gt;12), "RING 2, STOP 8", "")</t>
  </si>
  <si>
    <t>$=IF(AND(BO17&gt;=47, AW7&lt;=12), "RING 3, STOP 8", "")</t>
  </si>
  <si>
    <t>$=IF(AND(BP17&gt;=47, BB7&lt;=12), "RING 3, STOP 8", "")</t>
  </si>
  <si>
    <t>$=IF(OR(AND(BO17=45, AW&lt;11), AND(B017=46, AW7&lt;=12)), "RING 3, STOP 7.5", "")</t>
  </si>
  <si>
    <t>$=IF(OR(AND(BP17=45, BB7&lt;11), AND(BP17=46, BB7&lt;=12)), "RING 3, STOP 7.5", "")</t>
  </si>
  <si>
    <t>FORMULA</t>
  </si>
  <si>
    <t>MORIA M2 MICROKERATOME</t>
  </si>
  <si>
    <t>MORIA SBK MICROKERAOME</t>
  </si>
  <si>
    <t>FEMTOSECOND LASER FLAP</t>
  </si>
  <si>
    <t xml:space="preserve">RE FS FLAP </t>
  </si>
  <si>
    <t>LE FS FLAP</t>
  </si>
  <si>
    <t>$=IF(OR(AND(AW10=41, AW7&gt;=11), AND(AW10=42, AW7&gt;12)), "RING -1, STOP 8", "")</t>
  </si>
  <si>
    <t>$=IF(OR(AND(AW10=43, AW7&lt;11), AND(AW10=44, AW7&lt;11), AND(AW10=45, AW7&lt;=12), AND(AW10=46, AW7&gt;=11), AND(AW10=47, AW7&gt;12)), "RING 1, STOP 7.5", "")</t>
  </si>
  <si>
    <t>$=IF(OR(AND(AW10=46, AW7&lt;11), AND(AW10=47, AW7&lt;=12), AND(AW10&gt;=48, AW7&gt;8)), "RING 2, STOP 7.5", "")</t>
  </si>
  <si>
    <t>$=IF(OR(AND(BA10=43, BB7&lt;11), AND(BA10=44, BB7&lt;11), AND(BA10=45, BB7&lt;=12), AND(BA10=46, BB7&gt;=11), AND(BA10=47, BB7&gt;12)), "RING 1, STOP 7.5", "")</t>
  </si>
  <si>
    <t>$=IF(BA10&lt;=40, "RING -1, STOP 7.5", "")</t>
  </si>
  <si>
    <t>$=IF(OR(AND(BA10=46, BB7&lt;11), AND(BA10=47, BB7&lt;=12), AND(BA10&gt;=48, BB7&gt;8)), "RING 2, STOP 7.5", "")</t>
  </si>
  <si>
    <t>$=IF(AW7&gt;12.2, "9mm FLAP, 3.8mm HINGE", "")</t>
  </si>
  <si>
    <t>$=IF(BB7&gt;12.2, "9mm FLAP, 3.8mm HINGE", "")</t>
  </si>
  <si>
    <t>$=IF(12&lt;=AW7&lt;=12.2, "8.9mm FLAP, 3.8mm HINGE", "")</t>
  </si>
  <si>
    <t>$=IF(11.75&lt;=AW7&lt;=12, "8.8mm FLAP, 3.8mm HINGE", "")</t>
  </si>
  <si>
    <t>$=IF(AW7&lt;11.75, "8.7mm FLAP, 3.8mm HINGE", "")</t>
  </si>
  <si>
    <t>$=IF(BB7&lt;11.75, "8.7mm FLAP, 3.8mm HINGE", "")</t>
  </si>
  <si>
    <t>$=IF(11.75&lt;=BB7&lt;=12, "8.8mm FLAP, 3.8mm HINGE", "")</t>
  </si>
  <si>
    <t>$=IF(12&lt;=BB7&lt;=12.2, "8.9mm FLAP, 3.8mm HINGE", "")</t>
  </si>
  <si>
    <t>MORIA SBK MICROKERATOME FLAP</t>
  </si>
  <si>
    <t>MORIA M2 MICROKERATOME FLAP</t>
  </si>
  <si>
    <t>MEASURED TOPO CYL</t>
  </si>
  <si>
    <t>RE SPH</t>
  </si>
  <si>
    <t>LE SPH</t>
  </si>
  <si>
    <t>NO CHANGE</t>
  </si>
  <si>
    <r>
      <rPr>
        <b/>
        <sz val="11"/>
        <color rgb="FF00B0F0"/>
        <rFont val="Calibri"/>
        <family val="2"/>
        <scheme val="minor"/>
      </rPr>
      <t>BLUE CIRCLE (LARGE) REPRESENTS RIGHT EYE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7"/>
        <rFont val="Calibri"/>
        <family val="2"/>
        <scheme val="minor"/>
      </rPr>
      <t>YELLOW DOT (SMALL) REPRESENTS LEFT EYE</t>
    </r>
  </si>
  <si>
    <r>
      <t xml:space="preserve">If it seems like the circles are on a border of 2 zones, please choose the zone which is </t>
    </r>
    <r>
      <rPr>
        <b/>
        <sz val="11"/>
        <color theme="1"/>
        <rFont val="Calibri"/>
        <family val="2"/>
        <scheme val="minor"/>
      </rPr>
      <t>TO THE RIGHT AND / OR LOWER</t>
    </r>
  </si>
  <si>
    <t xml:space="preserve"> LE SPH</t>
  </si>
  <si>
    <t xml:space="preserve">    RE SPH </t>
  </si>
  <si>
    <t>MANIFEST REFRACTION</t>
  </si>
  <si>
    <t>NEW SPHERE</t>
  </si>
  <si>
    <t>TOPO ANTERIOR</t>
  </si>
  <si>
    <t>ANGLE</t>
  </si>
  <si>
    <t>TOPO POSTERIOR</t>
  </si>
  <si>
    <t>TALUS 1</t>
  </si>
  <si>
    <t>TALUS 2</t>
  </si>
  <si>
    <t>TALUS ASTIGMATISM</t>
  </si>
  <si>
    <t xml:space="preserve">TALUS 3 </t>
  </si>
  <si>
    <t>TALUS 4</t>
  </si>
  <si>
    <t>TALUS 5</t>
  </si>
  <si>
    <t>FINAL MODIFIED TREATMENT ASTIGM</t>
  </si>
  <si>
    <t>TALUS 6</t>
  </si>
  <si>
    <t>MR CYL AB</t>
  </si>
  <si>
    <t>MAG</t>
  </si>
  <si>
    <t>ANGLE 2X</t>
  </si>
  <si>
    <t>RAD</t>
  </si>
  <si>
    <t>X</t>
  </si>
  <si>
    <t>Y</t>
  </si>
  <si>
    <t>MR</t>
  </si>
  <si>
    <t>TOTAL</t>
  </si>
  <si>
    <t>COR A</t>
  </si>
  <si>
    <t>DIR</t>
  </si>
  <si>
    <t>COR P</t>
  </si>
  <si>
    <t>DIR/2</t>
  </si>
  <si>
    <t>INTERNAL</t>
  </si>
  <si>
    <t>TOTAL CORNEA</t>
  </si>
  <si>
    <t>TALUS</t>
  </si>
  <si>
    <t>FINAL AXIS</t>
  </si>
  <si>
    <t>FINAL MAG</t>
  </si>
  <si>
    <t xml:space="preserve">MMR </t>
  </si>
  <si>
    <t>PHORCIDES ALGORITHM</t>
  </si>
  <si>
    <t>SOFTWARE RECOMMENDATION FOR CONTOURA</t>
  </si>
  <si>
    <t>DEVICE</t>
  </si>
  <si>
    <t>DEVICE: 1 - TOPOLYZER,       2 - ALTERNATE MACHINE</t>
  </si>
  <si>
    <t>-1 to - 1.5</t>
  </si>
  <si>
    <t>-1.5 to - 2</t>
  </si>
  <si>
    <t>-2 to - 3</t>
  </si>
  <si>
    <t>&gt; -3</t>
  </si>
  <si>
    <t>0  to - 1</t>
  </si>
  <si>
    <t>ACA</t>
  </si>
  <si>
    <t>PCA</t>
  </si>
  <si>
    <t>-0.1 at 90</t>
  </si>
  <si>
    <t>-0.2 at 90</t>
  </si>
  <si>
    <t>ANTERIOR CORNEAL ASTIGMATISM WTR 
(FLAT AXIS 151 TO 180 
OR
  0 TO 29 DEGREES)</t>
  </si>
  <si>
    <t>ATR / OBLIQUE ASTIGMATISM (FLAT AXIS 30 TO 150 DEGREES)</t>
  </si>
  <si>
    <t>&lt; -1</t>
  </si>
  <si>
    <t>&gt; -1</t>
  </si>
  <si>
    <t>SOFTWARE RECOMMENDATIONS</t>
  </si>
  <si>
    <t>PCA NOMOGRAM</t>
  </si>
  <si>
    <t>AGE</t>
  </si>
  <si>
    <t>DATE</t>
  </si>
  <si>
    <t>MONTH</t>
  </si>
  <si>
    <t>YEAR</t>
  </si>
  <si>
    <t>D.O.B</t>
  </si>
  <si>
    <t>CONTOURA: ALCON PROTOCOL 1 (LYRA)</t>
  </si>
  <si>
    <t>CONTOURA: ALCON PROTOCOL 2</t>
  </si>
  <si>
    <t>TMR</t>
  </si>
  <si>
    <t>MMR</t>
  </si>
  <si>
    <t>MODIFIED</t>
  </si>
  <si>
    <t>CONTOURA: TMR TALUS</t>
  </si>
  <si>
    <t>CONTOURA: MR TALUS</t>
  </si>
  <si>
    <t>CONTOURA: MODIFIED TALUS</t>
  </si>
  <si>
    <t>CONTOURA: MMR</t>
  </si>
  <si>
    <t>6.5</t>
  </si>
  <si>
    <t>2</t>
  </si>
  <si>
    <t>percent calc</t>
  </si>
  <si>
    <t>ZONE (Based on colour)</t>
  </si>
  <si>
    <t>HORIZONTAL SIZE (with respect to number of boxes)</t>
  </si>
  <si>
    <t>zone</t>
  </si>
  <si>
    <t>size</t>
  </si>
  <si>
    <t>3/4th box</t>
  </si>
  <si>
    <t>1 box</t>
  </si>
  <si>
    <t>1/2 box</t>
  </si>
  <si>
    <t>3 boxes</t>
  </si>
  <si>
    <t>1.5 boxes</t>
  </si>
  <si>
    <t>2 boxes</t>
  </si>
  <si>
    <t>2.5 boxes</t>
  </si>
  <si>
    <t>zone %</t>
  </si>
  <si>
    <t>$=IF(D5="1", 100, IF(D5="2", 90, IF(D5="3", 80, IF(D5="4", 70, IF(D5="5", 60, IF(D5="6", 50))))))</t>
  </si>
  <si>
    <t>size %</t>
  </si>
  <si>
    <t>TOTAL CORNEAL ASTIGMATISM</t>
  </si>
  <si>
    <t>INTERNAL ASTIGMATISM</t>
  </si>
  <si>
    <t>MYOPIC OVERCORRECTION DUE TO CONTOURA</t>
  </si>
  <si>
    <t>MRSA</t>
  </si>
  <si>
    <t>TMR SPH</t>
  </si>
  <si>
    <t>MRSA ABS</t>
  </si>
  <si>
    <t>TMR SPH ABS</t>
  </si>
  <si>
    <t>DIFF</t>
  </si>
  <si>
    <t>CONTOURA MEASURED CYLINDER</t>
  </si>
  <si>
    <t>0.1</t>
  </si>
  <si>
    <t>PCA magnitude</t>
  </si>
  <si>
    <t>0.15</t>
  </si>
  <si>
    <t>0.2</t>
  </si>
  <si>
    <t>0.25</t>
  </si>
  <si>
    <t>0.3</t>
  </si>
  <si>
    <t>PCA AXIS FOR WTR ASTIGMATISM: Same as CONTOURA MEASURED CYLINDER AXIS</t>
  </si>
  <si>
    <t>NOMOGRAM CORRECTIONS</t>
  </si>
  <si>
    <t>FINAL TREATMENT FOR CONTOURA</t>
  </si>
  <si>
    <t>APPLY NOMOGRAM</t>
  </si>
  <si>
    <t xml:space="preserve">CYL </t>
  </si>
  <si>
    <t>TALUS 3</t>
  </si>
  <si>
    <t>STEP 1: MANUAL ENTRY</t>
  </si>
  <si>
    <t>MAGNITUDE</t>
  </si>
  <si>
    <t>MAX</t>
  </si>
  <si>
    <t>CEN</t>
  </si>
  <si>
    <t>HORIZONTAL SIZE</t>
  </si>
  <si>
    <t>STEP 2: ANALYSIS OF ALL COMPONENTS OF ASTIGMATISM</t>
  </si>
  <si>
    <t>STEP 3: SOFTWARE RECOMMENDATIONS AND FINAL CORRECTION</t>
  </si>
  <si>
    <t>CONTOURA MYOPIC OVERCORRECTION</t>
  </si>
  <si>
    <t>pca nomo</t>
  </si>
  <si>
    <t>wtr</t>
  </si>
  <si>
    <t>ATR</t>
  </si>
  <si>
    <t>PCA MAG</t>
  </si>
  <si>
    <t>RIGHT EYE CONTOURA PLANNING</t>
  </si>
  <si>
    <t>LEFT EYE CONTOURA PLANNING</t>
  </si>
  <si>
    <t>CLICK HERE TO SEE INSTRUCTIONS FOR HOW TO FILL TALUS DATA</t>
  </si>
  <si>
    <t>PCA LIST</t>
  </si>
  <si>
    <t>POSTERIOR CORNEAL ASTIGMATISM (PCA)
CHOOSE FROM BELOW OPTIONS:</t>
  </si>
  <si>
    <t>MANUAL ENTRY</t>
  </si>
  <si>
    <t>USE SOFTWARE INBUILT NOMOGRAM</t>
  </si>
  <si>
    <t>DO NOT CONSIDER</t>
  </si>
  <si>
    <t>PCA MAGNITUDE</t>
  </si>
  <si>
    <t>FOR PCA MANUAL ENTRY, FILL BOXES BELOW:</t>
  </si>
  <si>
    <t>MEASURED TOPOGRAPHY CYLINDER:</t>
  </si>
  <si>
    <t>MODIFIED REFRACTION ZERO, ABLATION PROFILE:</t>
  </si>
  <si>
    <t xml:space="preserve">PCA MAGNITUDE </t>
  </si>
  <si>
    <t>PCA STEEP AXIS</t>
  </si>
  <si>
    <t>FINAL</t>
  </si>
  <si>
    <t>PROCEED</t>
  </si>
  <si>
    <t>BACK</t>
  </si>
  <si>
    <t>CHOOSE WHICH TOPOGRAPHY MACHINE TO CONSIDER:</t>
  </si>
  <si>
    <t>TOPOLYZER (RECOMMENDED)</t>
  </si>
  <si>
    <t>ALTERNATE TOPOGRAPHY</t>
  </si>
  <si>
    <t>TMR (TOPO MODIFIED REFRACTION):</t>
  </si>
  <si>
    <t>MMR (MANIFEST MODIFIED REFRACTION):</t>
  </si>
  <si>
    <t>MODIFIED (can be modified manually using both TMR and MMR):</t>
  </si>
  <si>
    <t>ALCON RECOMMENDATION</t>
  </si>
  <si>
    <t>iSMART SOFTWARE RECOMMENDATION</t>
  </si>
  <si>
    <t xml:space="preserve">FINAL MODIFIED REFRACTION </t>
  </si>
  <si>
    <t>CONTOURA MYOPIC OVERCORRECTON</t>
  </si>
  <si>
    <t>CHOOSE FROM BELOW FOR MYOPIC OVERCORRECTION:</t>
  </si>
  <si>
    <t xml:space="preserve">SPHERE NOMOGRAM ADJUSTMENT, CHOOSE FROM BELOW: </t>
  </si>
  <si>
    <t>INCLUDE MYOPIC OVERCORRECTION IN FINAL REFRACTION</t>
  </si>
  <si>
    <t>ADD SPHERE NOMOGRAM ADJUSTMENT IN FINAL REFRACTION</t>
  </si>
  <si>
    <t>DO NOT ADD SPHERE NOMOGRAM ADJUSTMENT IN FINAL REFRACTION</t>
  </si>
  <si>
    <t>GO TO PRIMARY SHEET</t>
  </si>
  <si>
    <t>STEP 3: FINAL RESULTS AND SOFTWARE RECOMMENDATIONS</t>
  </si>
  <si>
    <t>CYLINDER</t>
  </si>
  <si>
    <t>MY+, NOMO-</t>
  </si>
  <si>
    <t>MY-, NOMO-</t>
  </si>
  <si>
    <t>MY</t>
  </si>
  <si>
    <t>NOMO</t>
  </si>
  <si>
    <t>DO NOT INCLUDE MYOPIC OVERCORRECTION IN FINAL REFRACTION</t>
  </si>
  <si>
    <t>MY-, NOMO+</t>
  </si>
  <si>
    <t>MY+, NOMO+</t>
  </si>
  <si>
    <t>TRANSFER REFRACTION FROM PLANNING SHEETS</t>
  </si>
  <si>
    <t xml:space="preserve">LEAVE BLANK AND MANUALLY ENTER </t>
  </si>
  <si>
    <t>RIGHT EYE CONTOURA PLANNING CLICK HERE</t>
  </si>
  <si>
    <t>LEFT EYE CONTOURA PLANNING CLICK HERE</t>
  </si>
  <si>
    <t xml:space="preserve"> WFO / CUSTOM Q FINAL TREATMENT</t>
  </si>
  <si>
    <t>PERSONAL COMMENTS</t>
  </si>
  <si>
    <t>COLOUR ZONE</t>
  </si>
  <si>
    <t>DATA ENTRY</t>
  </si>
  <si>
    <t>TALUS COLOUR ZONE REFERENCE</t>
  </si>
  <si>
    <t>TALUS HORIZONTAL SIZE REFERENCE (with respect to number of boxes)</t>
  </si>
  <si>
    <t>TALUS ANGLE REFERENCE</t>
  </si>
  <si>
    <t>90</t>
  </si>
  <si>
    <t>BACK TO PRIMARY SHEET</t>
  </si>
  <si>
    <t>CYL(-)</t>
  </si>
  <si>
    <t>BACK TO RIGHT EYE</t>
  </si>
  <si>
    <t>BACK TO LEFT EYE</t>
  </si>
  <si>
    <t>HOA ASTIGMATISM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</si>
</sst>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8"/>
      <color theme="0" tint="-0.1499984740745262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11"/>
      <color theme="0" tint="-0.14999847407452621"/>
      <name val="Arial"/>
      <family val="2"/>
    </font>
    <font>
      <sz val="11"/>
      <color theme="0" tint="-0.14999847407452621"/>
      <name val="Arial"/>
      <family val="2"/>
    </font>
    <font>
      <b/>
      <sz val="18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10"/>
      <color theme="0" tint="-0.14999847407452621"/>
      <name val="Arial Narrow"/>
      <family val="2"/>
    </font>
    <font>
      <b/>
      <sz val="10"/>
      <color theme="0" tint="-0.1499984740745262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6"/>
      <color indexed="8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002060"/>
      <name val="Arial"/>
      <family val="2"/>
    </font>
    <font>
      <b/>
      <sz val="9"/>
      <color theme="0" tint="-0.14999847407452621"/>
      <name val="Arial"/>
      <family val="2"/>
    </font>
    <font>
      <u/>
      <sz val="11"/>
      <color theme="10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u/>
      <sz val="18"/>
      <color theme="10"/>
      <name val="Calibri"/>
      <family val="2"/>
      <scheme val="minor"/>
    </font>
    <font>
      <b/>
      <u/>
      <sz val="20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6" fillId="0" borderId="0" applyNumberFormat="0" applyFill="0" applyBorder="0" applyAlignment="0" applyProtection="0"/>
  </cellStyleXfs>
  <cellXfs count="507">
    <xf numFmtId="0" fontId="0" fillId="0" borderId="0" xfId="0"/>
    <xf numFmtId="0" fontId="2" fillId="4" borderId="13" xfId="0" applyFont="1" applyFill="1" applyBorder="1" applyAlignment="1">
      <alignment vertical="top"/>
    </xf>
    <xf numFmtId="0" fontId="2" fillId="3" borderId="0" xfId="0" applyFont="1" applyFill="1"/>
    <xf numFmtId="0" fontId="2" fillId="5" borderId="4" xfId="0" applyFont="1" applyFill="1" applyBorder="1"/>
    <xf numFmtId="0" fontId="2" fillId="5" borderId="6" xfId="0" applyFont="1" applyFill="1" applyBorder="1"/>
    <xf numFmtId="0" fontId="2" fillId="5" borderId="9" xfId="0" applyFont="1" applyFill="1" applyBorder="1"/>
    <xf numFmtId="0" fontId="2" fillId="5" borderId="0" xfId="0" applyFont="1" applyFill="1"/>
    <xf numFmtId="0" fontId="2" fillId="6" borderId="0" xfId="0" applyFont="1" applyFill="1"/>
    <xf numFmtId="0" fontId="0" fillId="0" borderId="0" xfId="0" applyProtection="1">
      <protection locked="0"/>
    </xf>
    <xf numFmtId="0" fontId="2" fillId="2" borderId="9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0" fillId="7" borderId="0" xfId="0" applyFill="1" applyProtection="1">
      <protection locked="0"/>
    </xf>
    <xf numFmtId="0" fontId="8" fillId="7" borderId="0" xfId="0" applyFont="1" applyFill="1"/>
    <xf numFmtId="0" fontId="0" fillId="7" borderId="0" xfId="0" applyFill="1"/>
    <xf numFmtId="0" fontId="7" fillId="7" borderId="0" xfId="0" applyFont="1" applyFill="1"/>
    <xf numFmtId="0" fontId="2" fillId="2" borderId="5" xfId="0" applyFont="1" applyFill="1" applyBorder="1" applyAlignment="1">
      <alignment horizontal="center"/>
    </xf>
    <xf numFmtId="0" fontId="7" fillId="7" borderId="0" xfId="0" applyFont="1" applyFill="1" applyAlignment="1" applyProtection="1">
      <alignment horizontal="center"/>
      <protection locked="0"/>
    </xf>
    <xf numFmtId="0" fontId="0" fillId="7" borderId="0" xfId="0" applyFill="1" applyAlignment="1" applyProtection="1">
      <alignment horizontal="center"/>
      <protection locked="0"/>
    </xf>
    <xf numFmtId="0" fontId="0" fillId="11" borderId="0" xfId="0" applyFill="1" applyProtection="1">
      <protection locked="0"/>
    </xf>
    <xf numFmtId="0" fontId="7" fillId="2" borderId="1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0" fillId="10" borderId="1" xfId="0" applyFill="1" applyBorder="1"/>
    <xf numFmtId="0" fontId="0" fillId="3" borderId="0" xfId="0" applyFill="1"/>
    <xf numFmtId="0" fontId="7" fillId="5" borderId="1" xfId="0" applyFont="1" applyFill="1" applyBorder="1" applyAlignment="1">
      <alignment horizontal="center"/>
    </xf>
    <xf numFmtId="0" fontId="7" fillId="5" borderId="14" xfId="0" applyFont="1" applyFill="1" applyBorder="1" applyAlignment="1">
      <alignment horizontal="center"/>
    </xf>
    <xf numFmtId="49" fontId="0" fillId="2" borderId="1" xfId="0" applyNumberFormat="1" applyFill="1" applyBorder="1"/>
    <xf numFmtId="49" fontId="0" fillId="5" borderId="1" xfId="0" applyNumberFormat="1" applyFill="1" applyBorder="1"/>
    <xf numFmtId="49" fontId="0" fillId="5" borderId="14" xfId="0" applyNumberFormat="1" applyFill="1" applyBorder="1"/>
    <xf numFmtId="49" fontId="0" fillId="2" borderId="14" xfId="0" applyNumberFormat="1" applyFill="1" applyBorder="1"/>
    <xf numFmtId="0" fontId="0" fillId="0" borderId="0" xfId="0" applyAlignment="1" applyProtection="1">
      <alignment horizontal="center"/>
      <protection locked="0"/>
    </xf>
    <xf numFmtId="0" fontId="2" fillId="3" borderId="7" xfId="0" applyFont="1" applyFill="1" applyBorder="1"/>
    <xf numFmtId="0" fontId="7" fillId="3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49" fontId="0" fillId="0" borderId="0" xfId="0" applyNumberFormat="1" applyProtection="1">
      <protection locked="0"/>
    </xf>
    <xf numFmtId="49" fontId="0" fillId="11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0" fontId="7" fillId="2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49" fontId="12" fillId="12" borderId="1" xfId="0" applyNumberFormat="1" applyFont="1" applyFill="1" applyBorder="1" applyAlignment="1">
      <alignment horizontal="center" vertical="center" wrapText="1"/>
    </xf>
    <xf numFmtId="49" fontId="7" fillId="12" borderId="1" xfId="0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center"/>
    </xf>
    <xf numFmtId="49" fontId="7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13" borderId="1" xfId="0" applyFont="1" applyFill="1" applyBorder="1" applyAlignment="1" applyProtection="1">
      <alignment horizontal="center"/>
      <protection locked="0"/>
    </xf>
    <xf numFmtId="0" fontId="12" fillId="13" borderId="1" xfId="0" applyFont="1" applyFill="1" applyBorder="1" applyAlignment="1" applyProtection="1">
      <alignment horizontal="center"/>
      <protection locked="0"/>
    </xf>
    <xf numFmtId="0" fontId="19" fillId="13" borderId="1" xfId="0" applyFont="1" applyFill="1" applyBorder="1" applyAlignment="1">
      <alignment horizontal="right"/>
    </xf>
    <xf numFmtId="0" fontId="20" fillId="3" borderId="0" xfId="0" applyFont="1" applyFill="1"/>
    <xf numFmtId="0" fontId="2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/>
    </xf>
    <xf numFmtId="0" fontId="13" fillId="2" borderId="1" xfId="0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2" fillId="3" borderId="0" xfId="0" applyFont="1" applyFill="1"/>
    <xf numFmtId="0" fontId="20" fillId="3" borderId="0" xfId="0" applyFont="1" applyFill="1" applyAlignment="1">
      <alignment horizontal="center" vertical="center"/>
    </xf>
    <xf numFmtId="49" fontId="0" fillId="5" borderId="1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21" fillId="3" borderId="0" xfId="0" applyFont="1" applyFill="1" applyAlignment="1">
      <alignment vertical="center" wrapText="1"/>
    </xf>
    <xf numFmtId="0" fontId="7" fillId="2" borderId="12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/>
    </xf>
    <xf numFmtId="0" fontId="12" fillId="5" borderId="12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horizontal="center"/>
      <protection locked="0"/>
    </xf>
    <xf numFmtId="0" fontId="0" fillId="5" borderId="12" xfId="0" applyFill="1" applyBorder="1" applyAlignment="1" applyProtection="1">
      <alignment horizontal="center"/>
      <protection locked="0"/>
    </xf>
    <xf numFmtId="0" fontId="2" fillId="3" borderId="3" xfId="0" applyFont="1" applyFill="1" applyBorder="1"/>
    <xf numFmtId="0" fontId="2" fillId="6" borderId="1" xfId="0" applyFont="1" applyFill="1" applyBorder="1" applyAlignment="1" applyProtection="1">
      <alignment horizontal="center" vertical="center"/>
      <protection locked="0"/>
    </xf>
    <xf numFmtId="49" fontId="1" fillId="6" borderId="12" xfId="0" applyNumberFormat="1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/>
    </xf>
    <xf numFmtId="0" fontId="7" fillId="12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/>
    </xf>
    <xf numFmtId="0" fontId="12" fillId="12" borderId="1" xfId="0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right"/>
    </xf>
    <xf numFmtId="0" fontId="0" fillId="6" borderId="1" xfId="0" applyFill="1" applyBorder="1" applyAlignment="1">
      <alignment horizontal="center" vertical="center"/>
    </xf>
    <xf numFmtId="0" fontId="7" fillId="14" borderId="1" xfId="0" applyFont="1" applyFill="1" applyBorder="1" applyAlignment="1">
      <alignment horizontal="right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 applyAlignment="1" applyProtection="1">
      <alignment horizontal="center" vertical="center"/>
      <protection locked="0"/>
    </xf>
    <xf numFmtId="0" fontId="12" fillId="13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vertical="center" wrapText="1"/>
    </xf>
    <xf numFmtId="0" fontId="12" fillId="3" borderId="0" xfId="0" applyFont="1" applyFill="1" applyAlignment="1">
      <alignment vertical="center" wrapText="1"/>
    </xf>
    <xf numFmtId="0" fontId="13" fillId="14" borderId="1" xfId="0" applyFont="1" applyFill="1" applyBorder="1" applyAlignment="1">
      <alignment horizontal="right"/>
    </xf>
    <xf numFmtId="0" fontId="7" fillId="3" borderId="0" xfId="0" applyFont="1" applyFill="1" applyAlignment="1" applyProtection="1">
      <alignment horizontal="center"/>
      <protection locked="0"/>
    </xf>
    <xf numFmtId="0" fontId="26" fillId="3" borderId="0" xfId="0" applyFont="1" applyFill="1" applyAlignment="1">
      <alignment horizontal="center" vertical="center"/>
    </xf>
    <xf numFmtId="0" fontId="27" fillId="3" borderId="0" xfId="0" applyFont="1" applyFill="1"/>
    <xf numFmtId="0" fontId="7" fillId="10" borderId="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0" fillId="10" borderId="1" xfId="0" applyFill="1" applyBorder="1" applyAlignment="1" applyProtection="1">
      <alignment horizontal="center" vertical="center" wrapText="1"/>
      <protection locked="0"/>
    </xf>
    <xf numFmtId="0" fontId="0" fillId="10" borderId="14" xfId="0" applyFill="1" applyBorder="1" applyAlignment="1" applyProtection="1">
      <alignment horizontal="center" vertical="center" wrapText="1"/>
      <protection locked="0"/>
    </xf>
    <xf numFmtId="0" fontId="12" fillId="3" borderId="0" xfId="0" applyFont="1" applyFill="1" applyAlignment="1" applyProtection="1">
      <alignment horizontal="center" vertical="center" wrapText="1"/>
      <protection locked="0"/>
    </xf>
    <xf numFmtId="0" fontId="0" fillId="3" borderId="0" xfId="0" applyFill="1" applyAlignment="1">
      <alignment horizontal="center" vertical="center" wrapText="1"/>
    </xf>
    <xf numFmtId="0" fontId="0" fillId="10" borderId="1" xfId="0" applyFill="1" applyBorder="1" applyAlignment="1" applyProtection="1">
      <alignment horizontal="center" vertical="center"/>
      <protection locked="0"/>
    </xf>
    <xf numFmtId="0" fontId="37" fillId="3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7" fillId="3" borderId="0" xfId="0" applyFont="1" applyFill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26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49" fontId="2" fillId="5" borderId="1" xfId="0" applyNumberFormat="1" applyFont="1" applyFill="1" applyBorder="1" applyAlignment="1" applyProtection="1">
      <alignment horizontal="center"/>
      <protection locked="0"/>
    </xf>
    <xf numFmtId="0" fontId="2" fillId="5" borderId="11" xfId="0" applyFont="1" applyFill="1" applyBorder="1" applyAlignment="1">
      <alignment horizontal="center"/>
    </xf>
    <xf numFmtId="0" fontId="12" fillId="10" borderId="1" xfId="0" applyFont="1" applyFill="1" applyBorder="1" applyAlignment="1">
      <alignment horizontal="center" vertical="center" wrapText="1"/>
    </xf>
    <xf numFmtId="0" fontId="26" fillId="3" borderId="0" xfId="0" applyFont="1" applyFill="1"/>
    <xf numFmtId="49" fontId="2" fillId="0" borderId="0" xfId="0" applyNumberFormat="1" applyFont="1"/>
    <xf numFmtId="0" fontId="2" fillId="0" borderId="0" xfId="0" applyFont="1"/>
    <xf numFmtId="0" fontId="1" fillId="6" borderId="8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5" borderId="2" xfId="0" applyFont="1" applyFill="1" applyBorder="1"/>
    <xf numFmtId="0" fontId="2" fillId="6" borderId="2" xfId="0" applyFont="1" applyFill="1" applyBorder="1"/>
    <xf numFmtId="0" fontId="2" fillId="6" borderId="5" xfId="0" applyFont="1" applyFill="1" applyBorder="1"/>
    <xf numFmtId="0" fontId="3" fillId="5" borderId="1" xfId="0" applyFont="1" applyFill="1" applyBorder="1" applyAlignment="1">
      <alignment horizontal="center"/>
    </xf>
    <xf numFmtId="0" fontId="3" fillId="5" borderId="12" xfId="0" applyFont="1" applyFill="1" applyBorder="1"/>
    <xf numFmtId="0" fontId="3" fillId="6" borderId="8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3" fillId="6" borderId="12" xfId="0" applyFont="1" applyFill="1" applyBorder="1"/>
    <xf numFmtId="0" fontId="3" fillId="6" borderId="8" xfId="0" applyFont="1" applyFill="1" applyBorder="1"/>
    <xf numFmtId="0" fontId="3" fillId="0" borderId="0" xfId="0" applyFont="1"/>
    <xf numFmtId="0" fontId="1" fillId="0" borderId="0" xfId="0" applyFont="1"/>
    <xf numFmtId="0" fontId="2" fillId="6" borderId="4" xfId="0" applyFont="1" applyFill="1" applyBorder="1"/>
    <xf numFmtId="0" fontId="2" fillId="0" borderId="1" xfId="0" applyFont="1" applyBorder="1"/>
    <xf numFmtId="0" fontId="2" fillId="8" borderId="1" xfId="0" applyFont="1" applyFill="1" applyBorder="1"/>
    <xf numFmtId="0" fontId="2" fillId="4" borderId="8" xfId="0" applyFont="1" applyFill="1" applyBorder="1"/>
    <xf numFmtId="0" fontId="2" fillId="4" borderId="1" xfId="0" applyFont="1" applyFill="1" applyBorder="1"/>
    <xf numFmtId="0" fontId="7" fillId="2" borderId="1" xfId="0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32" fillId="3" borderId="0" xfId="0" applyFont="1" applyFill="1" applyAlignment="1">
      <alignment vertical="center" wrapText="1"/>
    </xf>
    <xf numFmtId="0" fontId="7" fillId="10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>
      <alignment horizontal="center" vertical="center"/>
    </xf>
    <xf numFmtId="0" fontId="12" fillId="5" borderId="1" xfId="0" applyFont="1" applyFill="1" applyBorder="1" applyAlignment="1">
      <alignment horizontal="right" vertical="center" wrapText="1"/>
    </xf>
    <xf numFmtId="0" fontId="35" fillId="3" borderId="0" xfId="0" applyFont="1" applyFill="1" applyAlignment="1">
      <alignment vertical="center" wrapText="1"/>
    </xf>
    <xf numFmtId="0" fontId="12" fillId="10" borderId="1" xfId="0" applyFont="1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49" fontId="7" fillId="2" borderId="1" xfId="0" applyNumberFormat="1" applyFont="1" applyFill="1" applyBorder="1" applyAlignment="1">
      <alignment horizontal="center" vertical="center"/>
    </xf>
    <xf numFmtId="0" fontId="7" fillId="17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49" fontId="12" fillId="5" borderId="1" xfId="0" applyNumberFormat="1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/>
    </xf>
    <xf numFmtId="0" fontId="0" fillId="0" borderId="1" xfId="0" applyBorder="1"/>
    <xf numFmtId="0" fontId="7" fillId="16" borderId="0" xfId="0" applyFont="1" applyFill="1" applyAlignment="1">
      <alignment horizontal="center" vertical="center" wrapText="1"/>
    </xf>
    <xf numFmtId="0" fontId="39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48" fillId="4" borderId="1" xfId="1" applyFont="1" applyFill="1" applyBorder="1" applyAlignment="1" applyProtection="1">
      <alignment horizontal="center" vertical="center"/>
      <protection locked="0"/>
    </xf>
    <xf numFmtId="49" fontId="8" fillId="7" borderId="0" xfId="0" applyNumberFormat="1" applyFont="1" applyFill="1"/>
    <xf numFmtId="0" fontId="2" fillId="2" borderId="1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48" fillId="7" borderId="16" xfId="1" applyFont="1" applyFill="1" applyBorder="1" applyAlignment="1" applyProtection="1">
      <alignment horizontal="center" vertical="center" wrapText="1"/>
      <protection locked="0"/>
    </xf>
    <xf numFmtId="0" fontId="48" fillId="7" borderId="17" xfId="1" applyFont="1" applyFill="1" applyBorder="1" applyAlignment="1" applyProtection="1">
      <alignment horizontal="center" vertical="center" wrapText="1"/>
      <protection locked="0"/>
    </xf>
    <xf numFmtId="0" fontId="48" fillId="7" borderId="18" xfId="1" applyFont="1" applyFill="1" applyBorder="1" applyAlignment="1" applyProtection="1">
      <alignment horizontal="center" vertical="center" wrapText="1"/>
      <protection locked="0"/>
    </xf>
    <xf numFmtId="0" fontId="48" fillId="7" borderId="19" xfId="1" applyFont="1" applyFill="1" applyBorder="1" applyAlignment="1" applyProtection="1">
      <alignment horizontal="center" vertical="center" wrapText="1"/>
      <protection locked="0"/>
    </xf>
    <xf numFmtId="0" fontId="48" fillId="7" borderId="0" xfId="1" applyFont="1" applyFill="1" applyBorder="1" applyAlignment="1" applyProtection="1">
      <alignment horizontal="center" vertical="center" wrapText="1"/>
      <protection locked="0"/>
    </xf>
    <xf numFmtId="0" fontId="48" fillId="7" borderId="20" xfId="1" applyFont="1" applyFill="1" applyBorder="1" applyAlignment="1" applyProtection="1">
      <alignment horizontal="center" vertical="center" wrapText="1"/>
      <protection locked="0"/>
    </xf>
    <xf numFmtId="0" fontId="48" fillId="7" borderId="21" xfId="1" applyFont="1" applyFill="1" applyBorder="1" applyAlignment="1" applyProtection="1">
      <alignment horizontal="center" vertical="center" wrapText="1"/>
      <protection locked="0"/>
    </xf>
    <xf numFmtId="0" fontId="48" fillId="7" borderId="22" xfId="1" applyFont="1" applyFill="1" applyBorder="1" applyAlignment="1" applyProtection="1">
      <alignment horizontal="center" vertical="center" wrapText="1"/>
      <protection locked="0"/>
    </xf>
    <xf numFmtId="0" fontId="48" fillId="7" borderId="23" xfId="1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2" fillId="3" borderId="6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wrapText="1"/>
    </xf>
    <xf numFmtId="0" fontId="6" fillId="3" borderId="0" xfId="0" applyFont="1" applyFill="1" applyAlignment="1">
      <alignment horizontal="center" wrapText="1"/>
    </xf>
    <xf numFmtId="0" fontId="2" fillId="3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/>
    </xf>
    <xf numFmtId="0" fontId="45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6" fillId="3" borderId="0" xfId="0" applyFont="1" applyFill="1" applyAlignment="1">
      <alignment horizontal="center" vertical="center" wrapText="1"/>
    </xf>
    <xf numFmtId="0" fontId="2" fillId="3" borderId="10" xfId="0" applyFont="1" applyFill="1" applyBorder="1" applyAlignment="1">
      <alignment horizontal="center"/>
    </xf>
    <xf numFmtId="49" fontId="2" fillId="6" borderId="1" xfId="0" applyNumberFormat="1" applyFont="1" applyFill="1" applyBorder="1" applyAlignment="1" applyProtection="1">
      <alignment horizontal="center" vertical="center"/>
      <protection locked="0"/>
    </xf>
    <xf numFmtId="0" fontId="1" fillId="6" borderId="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2" fillId="3" borderId="0" xfId="0" applyFont="1" applyFill="1"/>
    <xf numFmtId="0" fontId="2" fillId="3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36" fillId="3" borderId="0" xfId="0" applyFont="1" applyFill="1" applyAlignment="1">
      <alignment horizontal="right" vertical="center"/>
    </xf>
    <xf numFmtId="2" fontId="2" fillId="2" borderId="1" xfId="0" applyNumberFormat="1" applyFont="1" applyFill="1" applyBorder="1" applyAlignment="1" applyProtection="1">
      <alignment horizontal="center"/>
      <protection locked="0"/>
    </xf>
    <xf numFmtId="0" fontId="27" fillId="3" borderId="0" xfId="0" applyFont="1" applyFill="1" applyAlignment="1">
      <alignment horizontal="center"/>
    </xf>
    <xf numFmtId="0" fontId="26" fillId="3" borderId="0" xfId="0" applyFont="1" applyFill="1" applyAlignment="1">
      <alignment horizontal="center"/>
    </xf>
    <xf numFmtId="0" fontId="3" fillId="3" borderId="10" xfId="0" applyFont="1" applyFill="1" applyBorder="1" applyAlignment="1">
      <alignment horizontal="left"/>
    </xf>
    <xf numFmtId="0" fontId="2" fillId="5" borderId="6" xfId="0" applyFont="1" applyFill="1" applyBorder="1" applyAlignment="1">
      <alignment horizontal="center"/>
    </xf>
    <xf numFmtId="49" fontId="2" fillId="2" borderId="12" xfId="0" applyNumberFormat="1" applyFont="1" applyFill="1" applyBorder="1" applyAlignment="1" applyProtection="1">
      <alignment horizontal="center"/>
      <protection locked="0"/>
    </xf>
    <xf numFmtId="49" fontId="2" fillId="2" borderId="3" xfId="0" applyNumberFormat="1" applyFont="1" applyFill="1" applyBorder="1" applyAlignment="1" applyProtection="1">
      <alignment horizontal="center"/>
      <protection locked="0"/>
    </xf>
    <xf numFmtId="49" fontId="2" fillId="2" borderId="8" xfId="0" applyNumberFormat="1" applyFont="1" applyFill="1" applyBorder="1" applyAlignment="1" applyProtection="1">
      <alignment horizontal="center"/>
      <protection locked="0"/>
    </xf>
    <xf numFmtId="49" fontId="2" fillId="5" borderId="12" xfId="0" applyNumberFormat="1" applyFont="1" applyFill="1" applyBorder="1" applyAlignment="1" applyProtection="1">
      <alignment horizontal="center"/>
      <protection locked="0"/>
    </xf>
    <xf numFmtId="49" fontId="2" fillId="5" borderId="3" xfId="0" applyNumberFormat="1" applyFont="1" applyFill="1" applyBorder="1" applyAlignment="1" applyProtection="1">
      <alignment horizontal="center"/>
      <protection locked="0"/>
    </xf>
    <xf numFmtId="49" fontId="2" fillId="5" borderId="8" xfId="0" applyNumberFormat="1" applyFont="1" applyFill="1" applyBorder="1" applyAlignment="1" applyProtection="1">
      <alignment horizontal="center"/>
      <protection locked="0"/>
    </xf>
    <xf numFmtId="49" fontId="2" fillId="6" borderId="12" xfId="0" applyNumberFormat="1" applyFont="1" applyFill="1" applyBorder="1" applyAlignment="1" applyProtection="1">
      <alignment horizontal="center" vertical="center"/>
      <protection locked="0"/>
    </xf>
    <xf numFmtId="49" fontId="2" fillId="6" borderId="3" xfId="0" applyNumberFormat="1" applyFont="1" applyFill="1" applyBorder="1" applyAlignment="1" applyProtection="1">
      <alignment horizontal="center" vertical="center"/>
      <protection locked="0"/>
    </xf>
    <xf numFmtId="49" fontId="2" fillId="6" borderId="8" xfId="0" applyNumberFormat="1" applyFont="1" applyFill="1" applyBorder="1" applyAlignment="1" applyProtection="1">
      <alignment horizontal="center" vertical="center"/>
      <protection locked="0"/>
    </xf>
    <xf numFmtId="0" fontId="2" fillId="3" borderId="13" xfId="0" applyFont="1" applyFill="1" applyBorder="1"/>
    <xf numFmtId="0" fontId="2" fillId="3" borderId="3" xfId="0" applyFont="1" applyFill="1" applyBorder="1"/>
    <xf numFmtId="0" fontId="2" fillId="3" borderId="1" xfId="0" applyFont="1" applyFill="1" applyBorder="1"/>
    <xf numFmtId="0" fontId="2" fillId="3" borderId="8" xfId="0" applyFont="1" applyFill="1" applyBorder="1"/>
    <xf numFmtId="0" fontId="2" fillId="3" borderId="12" xfId="0" applyFont="1" applyFill="1" applyBorder="1"/>
    <xf numFmtId="0" fontId="2" fillId="3" borderId="2" xfId="0" applyFont="1" applyFill="1" applyBorder="1"/>
    <xf numFmtId="2" fontId="2" fillId="5" borderId="1" xfId="0" applyNumberFormat="1" applyFont="1" applyFill="1" applyBorder="1" applyAlignment="1" applyProtection="1">
      <alignment horizontal="center"/>
      <protection locked="0"/>
    </xf>
    <xf numFmtId="0" fontId="2" fillId="5" borderId="10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 vertical="top"/>
    </xf>
    <xf numFmtId="0" fontId="1" fillId="2" borderId="0" xfId="0" applyFont="1" applyFill="1" applyAlignment="1">
      <alignment horizontal="center" vertical="top"/>
    </xf>
    <xf numFmtId="0" fontId="1" fillId="2" borderId="7" xfId="0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2" borderId="5" xfId="0" applyFont="1" applyFill="1" applyBorder="1" applyAlignment="1">
      <alignment horizontal="center" vertical="top"/>
    </xf>
    <xf numFmtId="0" fontId="1" fillId="5" borderId="6" xfId="0" applyFont="1" applyFill="1" applyBorder="1" applyAlignment="1">
      <alignment horizontal="center" vertical="top"/>
    </xf>
    <xf numFmtId="0" fontId="1" fillId="5" borderId="0" xfId="0" applyFont="1" applyFill="1" applyAlignment="1">
      <alignment horizontal="center" vertical="top"/>
    </xf>
    <xf numFmtId="0" fontId="1" fillId="5" borderId="7" xfId="0" applyFont="1" applyFill="1" applyBorder="1" applyAlignment="1">
      <alignment horizontal="center" vertical="top"/>
    </xf>
    <xf numFmtId="0" fontId="44" fillId="5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49" fontId="2" fillId="5" borderId="1" xfId="0" applyNumberFormat="1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0" fontId="44" fillId="2" borderId="1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3" fillId="6" borderId="13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top"/>
    </xf>
    <xf numFmtId="0" fontId="4" fillId="5" borderId="4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0" fontId="3" fillId="5" borderId="13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1" fillId="5" borderId="9" xfId="0" applyFont="1" applyFill="1" applyBorder="1" applyAlignment="1">
      <alignment horizontal="center" vertical="top"/>
    </xf>
    <xf numFmtId="0" fontId="1" fillId="5" borderId="10" xfId="0" applyFont="1" applyFill="1" applyBorder="1" applyAlignment="1">
      <alignment horizontal="center" vertical="top"/>
    </xf>
    <xf numFmtId="0" fontId="1" fillId="5" borderId="11" xfId="0" applyFont="1" applyFill="1" applyBorder="1" applyAlignment="1">
      <alignment horizontal="center" vertical="top"/>
    </xf>
    <xf numFmtId="0" fontId="1" fillId="4" borderId="8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2" fillId="9" borderId="12" xfId="0" applyFont="1" applyFill="1" applyBorder="1" applyAlignment="1">
      <alignment horizontal="center"/>
    </xf>
    <xf numFmtId="0" fontId="2" fillId="9" borderId="8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9" borderId="12" xfId="0" applyFont="1" applyFill="1" applyBorder="1" applyAlignment="1">
      <alignment horizontal="center"/>
    </xf>
    <xf numFmtId="0" fontId="3" fillId="9" borderId="8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28" fillId="15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0" fontId="52" fillId="0" borderId="0" xfId="1" applyFont="1" applyFill="1" applyAlignment="1" applyProtection="1">
      <alignment horizontal="center" wrapText="1"/>
      <protection locked="0"/>
    </xf>
    <xf numFmtId="0" fontId="52" fillId="0" borderId="0" xfId="1" applyFont="1" applyFill="1" applyAlignment="1" applyProtection="1">
      <alignment wrapText="1"/>
      <protection locked="0"/>
    </xf>
    <xf numFmtId="0" fontId="16" fillId="3" borderId="0" xfId="0" applyFont="1" applyFill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4" fillId="11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1" borderId="4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5" xfId="0" applyFont="1" applyFill="1" applyBorder="1" applyAlignment="1">
      <alignment horizontal="center" vertical="center" wrapText="1"/>
    </xf>
    <xf numFmtId="0" fontId="7" fillId="11" borderId="6" xfId="0" applyFont="1" applyFill="1" applyBorder="1" applyAlignment="1">
      <alignment horizontal="center" vertical="center" wrapText="1"/>
    </xf>
    <xf numFmtId="0" fontId="7" fillId="11" borderId="0" xfId="0" applyFont="1" applyFill="1" applyAlignment="1">
      <alignment horizontal="center" vertical="center" wrapText="1"/>
    </xf>
    <xf numFmtId="0" fontId="7" fillId="11" borderId="7" xfId="0" applyFont="1" applyFill="1" applyBorder="1" applyAlignment="1">
      <alignment horizontal="center" vertical="center" wrapText="1"/>
    </xf>
    <xf numFmtId="0" fontId="7" fillId="11" borderId="9" xfId="0" applyFont="1" applyFill="1" applyBorder="1" applyAlignment="1">
      <alignment horizontal="center" vertical="center" wrapText="1"/>
    </xf>
    <xf numFmtId="0" fontId="7" fillId="11" borderId="10" xfId="0" applyFont="1" applyFill="1" applyBorder="1" applyAlignment="1">
      <alignment horizontal="center" vertical="center" wrapText="1"/>
    </xf>
    <xf numFmtId="0" fontId="7" fillId="11" borderId="11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 textRotation="90" wrapText="1"/>
    </xf>
    <xf numFmtId="0" fontId="7" fillId="12" borderId="8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23" fillId="3" borderId="0" xfId="0" applyFont="1" applyFill="1" applyAlignment="1">
      <alignment horizontal="center" vertical="center" wrapText="1"/>
    </xf>
    <xf numFmtId="49" fontId="7" fillId="12" borderId="1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wrapText="1"/>
    </xf>
    <xf numFmtId="0" fontId="0" fillId="3" borderId="0" xfId="0" applyFill="1" applyAlignment="1">
      <alignment horizontal="center"/>
    </xf>
    <xf numFmtId="0" fontId="12" fillId="12" borderId="8" xfId="0" applyFont="1" applyFill="1" applyBorder="1" applyAlignment="1">
      <alignment horizontal="center" vertical="center" wrapText="1"/>
    </xf>
    <xf numFmtId="49" fontId="7" fillId="12" borderId="12" xfId="0" applyNumberFormat="1" applyFont="1" applyFill="1" applyBorder="1" applyAlignment="1">
      <alignment horizontal="center" vertical="center" wrapText="1"/>
    </xf>
    <xf numFmtId="0" fontId="7" fillId="12" borderId="12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right" vertical="center" wrapText="1"/>
    </xf>
    <xf numFmtId="0" fontId="7" fillId="10" borderId="14" xfId="0" applyFont="1" applyFill="1" applyBorder="1" applyAlignment="1">
      <alignment horizontal="center" vertical="center"/>
    </xf>
    <xf numFmtId="0" fontId="7" fillId="10" borderId="1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right" vertical="center" wrapText="1"/>
    </xf>
    <xf numFmtId="0" fontId="7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horizontal="center" vertical="center"/>
    </xf>
    <xf numFmtId="0" fontId="7" fillId="10" borderId="14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49" fontId="12" fillId="12" borderId="1" xfId="0" applyNumberFormat="1" applyFont="1" applyFill="1" applyBorder="1" applyAlignment="1">
      <alignment horizontal="center" vertical="center" wrapText="1"/>
    </xf>
    <xf numFmtId="49" fontId="12" fillId="12" borderId="12" xfId="0" applyNumberFormat="1" applyFont="1" applyFill="1" applyBorder="1" applyAlignment="1">
      <alignment horizontal="center" vertical="center" wrapText="1"/>
    </xf>
    <xf numFmtId="0" fontId="12" fillId="13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/>
    </xf>
    <xf numFmtId="0" fontId="16" fillId="11" borderId="12" xfId="0" applyFont="1" applyFill="1" applyBorder="1" applyAlignment="1">
      <alignment horizontal="center"/>
    </xf>
    <xf numFmtId="0" fontId="16" fillId="11" borderId="3" xfId="0" applyFont="1" applyFill="1" applyBorder="1" applyAlignment="1">
      <alignment horizontal="center"/>
    </xf>
    <xf numFmtId="0" fontId="16" fillId="11" borderId="8" xfId="0" applyFont="1" applyFill="1" applyBorder="1" applyAlignment="1">
      <alignment horizontal="center"/>
    </xf>
    <xf numFmtId="0" fontId="25" fillId="10" borderId="1" xfId="0" applyFont="1" applyFill="1" applyBorder="1" applyAlignment="1">
      <alignment horizontal="right" vertical="center" wrapText="1"/>
    </xf>
    <xf numFmtId="0" fontId="12" fillId="10" borderId="1" xfId="0" applyFont="1" applyFill="1" applyBorder="1" applyAlignment="1">
      <alignment vertical="center"/>
    </xf>
    <xf numFmtId="0" fontId="7" fillId="5" borderId="1" xfId="0" applyFont="1" applyFill="1" applyBorder="1" applyAlignment="1">
      <alignment horizontal="center"/>
    </xf>
    <xf numFmtId="0" fontId="11" fillId="5" borderId="8" xfId="0" applyFont="1" applyFill="1" applyBorder="1" applyAlignment="1">
      <alignment horizontal="right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1" borderId="4" xfId="0" applyFont="1" applyFill="1" applyBorder="1" applyAlignment="1">
      <alignment horizontal="center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0" fontId="12" fillId="11" borderId="0" xfId="0" applyFont="1" applyFill="1" applyAlignment="1">
      <alignment horizontal="center" vertical="center" wrapText="1"/>
    </xf>
    <xf numFmtId="0" fontId="12" fillId="11" borderId="7" xfId="0" applyFont="1" applyFill="1" applyBorder="1" applyAlignment="1">
      <alignment horizontal="center" vertical="center" wrapText="1"/>
    </xf>
    <xf numFmtId="0" fontId="12" fillId="11" borderId="9" xfId="0" applyFont="1" applyFill="1" applyBorder="1" applyAlignment="1">
      <alignment horizontal="center" vertical="center" wrapText="1"/>
    </xf>
    <xf numFmtId="0" fontId="12" fillId="11" borderId="10" xfId="0" applyFont="1" applyFill="1" applyBorder="1" applyAlignment="1">
      <alignment horizontal="center" vertical="center" wrapText="1"/>
    </xf>
    <xf numFmtId="0" fontId="12" fillId="11" borderId="11" xfId="0" applyFont="1" applyFill="1" applyBorder="1" applyAlignment="1">
      <alignment horizontal="center" vertical="center" wrapText="1"/>
    </xf>
    <xf numFmtId="0" fontId="12" fillId="12" borderId="12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0" fontId="18" fillId="12" borderId="1" xfId="0" applyFont="1" applyFill="1" applyBorder="1" applyAlignment="1">
      <alignment horizontal="center" vertical="center" textRotation="90" wrapText="1"/>
    </xf>
    <xf numFmtId="0" fontId="0" fillId="7" borderId="0" xfId="0" applyFill="1" applyAlignment="1">
      <alignment horizontal="center"/>
    </xf>
    <xf numFmtId="0" fontId="48" fillId="18" borderId="16" xfId="1" applyFont="1" applyFill="1" applyBorder="1" applyAlignment="1" applyProtection="1">
      <alignment horizontal="center" vertical="center" wrapText="1"/>
      <protection locked="0"/>
    </xf>
    <xf numFmtId="0" fontId="48" fillId="18" borderId="18" xfId="1" applyFont="1" applyFill="1" applyBorder="1" applyAlignment="1" applyProtection="1">
      <alignment horizontal="center" vertical="center" wrapText="1"/>
      <protection locked="0"/>
    </xf>
    <xf numFmtId="0" fontId="48" fillId="18" borderId="19" xfId="1" applyFont="1" applyFill="1" applyBorder="1" applyAlignment="1" applyProtection="1">
      <alignment horizontal="center" vertical="center" wrapText="1"/>
      <protection locked="0"/>
    </xf>
    <xf numFmtId="0" fontId="48" fillId="18" borderId="20" xfId="1" applyFont="1" applyFill="1" applyBorder="1" applyAlignment="1" applyProtection="1">
      <alignment horizontal="center" vertical="center" wrapText="1"/>
      <protection locked="0"/>
    </xf>
    <xf numFmtId="0" fontId="48" fillId="18" borderId="21" xfId="1" applyFont="1" applyFill="1" applyBorder="1" applyAlignment="1" applyProtection="1">
      <alignment horizontal="center" vertical="center" wrapText="1"/>
      <protection locked="0"/>
    </xf>
    <xf numFmtId="0" fontId="48" fillId="18" borderId="23" xfId="1" applyFont="1" applyFill="1" applyBorder="1" applyAlignment="1" applyProtection="1">
      <alignment horizontal="center" vertical="center" wrapText="1"/>
      <protection locked="0"/>
    </xf>
    <xf numFmtId="0" fontId="51" fillId="7" borderId="16" xfId="1" applyFont="1" applyFill="1" applyBorder="1" applyAlignment="1" applyProtection="1">
      <alignment horizontal="center" vertical="center" wrapText="1"/>
      <protection locked="0"/>
    </xf>
    <xf numFmtId="0" fontId="51" fillId="7" borderId="17" xfId="1" applyFont="1" applyFill="1" applyBorder="1" applyAlignment="1" applyProtection="1">
      <alignment horizontal="center" vertical="center" wrapText="1"/>
      <protection locked="0"/>
    </xf>
    <xf numFmtId="0" fontId="51" fillId="7" borderId="18" xfId="1" applyFont="1" applyFill="1" applyBorder="1" applyAlignment="1" applyProtection="1">
      <alignment horizontal="center" vertical="center" wrapText="1"/>
      <protection locked="0"/>
    </xf>
    <xf numFmtId="0" fontId="51" fillId="7" borderId="19" xfId="1" applyFont="1" applyFill="1" applyBorder="1" applyAlignment="1" applyProtection="1">
      <alignment horizontal="center" vertical="center" wrapText="1"/>
      <protection locked="0"/>
    </xf>
    <xf numFmtId="0" fontId="51" fillId="7" borderId="0" xfId="1" applyFont="1" applyFill="1" applyBorder="1" applyAlignment="1" applyProtection="1">
      <alignment horizontal="center" vertical="center" wrapText="1"/>
      <protection locked="0"/>
    </xf>
    <xf numFmtId="0" fontId="51" fillId="7" borderId="20" xfId="1" applyFont="1" applyFill="1" applyBorder="1" applyAlignment="1" applyProtection="1">
      <alignment horizontal="center" vertical="center" wrapText="1"/>
      <protection locked="0"/>
    </xf>
    <xf numFmtId="0" fontId="51" fillId="7" borderId="21" xfId="1" applyFont="1" applyFill="1" applyBorder="1" applyAlignment="1" applyProtection="1">
      <alignment horizontal="center" vertical="center" wrapText="1"/>
      <protection locked="0"/>
    </xf>
    <xf numFmtId="0" fontId="51" fillId="7" borderId="22" xfId="1" applyFont="1" applyFill="1" applyBorder="1" applyAlignment="1" applyProtection="1">
      <alignment horizontal="center" vertical="center" wrapText="1"/>
      <protection locked="0"/>
    </xf>
    <xf numFmtId="0" fontId="51" fillId="7" borderId="23" xfId="1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>
      <alignment horizontal="center" vertical="center" wrapText="1"/>
    </xf>
    <xf numFmtId="0" fontId="38" fillId="7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 applyProtection="1">
      <alignment horizontal="center" vertical="center" wrapText="1"/>
      <protection locked="0"/>
    </xf>
    <xf numFmtId="0" fontId="7" fillId="18" borderId="14" xfId="0" applyFont="1" applyFill="1" applyBorder="1" applyAlignment="1">
      <alignment horizontal="center" vertical="center" wrapText="1"/>
    </xf>
    <xf numFmtId="0" fontId="7" fillId="18" borderId="13" xfId="0" applyFont="1" applyFill="1" applyBorder="1" applyAlignment="1">
      <alignment horizontal="center" vertical="center" wrapText="1"/>
    </xf>
    <xf numFmtId="0" fontId="7" fillId="18" borderId="4" xfId="0" applyFont="1" applyFill="1" applyBorder="1" applyAlignment="1">
      <alignment horizontal="center" vertical="center" wrapText="1"/>
    </xf>
    <xf numFmtId="0" fontId="7" fillId="18" borderId="5" xfId="0" applyFont="1" applyFill="1" applyBorder="1" applyAlignment="1">
      <alignment horizontal="center" vertical="center" wrapText="1"/>
    </xf>
    <xf numFmtId="0" fontId="7" fillId="18" borderId="9" xfId="0" applyFont="1" applyFill="1" applyBorder="1" applyAlignment="1">
      <alignment horizontal="center" vertical="center" wrapText="1"/>
    </xf>
    <xf numFmtId="0" fontId="7" fillId="18" borderId="11" xfId="0" applyFont="1" applyFill="1" applyBorder="1" applyAlignment="1">
      <alignment horizontal="center" vertical="center" wrapText="1"/>
    </xf>
    <xf numFmtId="0" fontId="50" fillId="0" borderId="16" xfId="1" applyFont="1" applyBorder="1" applyAlignment="1" applyProtection="1">
      <alignment horizontal="center" vertical="center"/>
      <protection locked="0"/>
    </xf>
    <xf numFmtId="0" fontId="50" fillId="0" borderId="18" xfId="1" applyFont="1" applyBorder="1" applyAlignment="1" applyProtection="1">
      <alignment horizontal="center" vertical="center"/>
      <protection locked="0"/>
    </xf>
    <xf numFmtId="0" fontId="50" fillId="0" borderId="21" xfId="1" applyFont="1" applyBorder="1" applyAlignment="1" applyProtection="1">
      <alignment horizontal="center" vertical="center"/>
      <protection locked="0"/>
    </xf>
    <xf numFmtId="0" fontId="50" fillId="0" borderId="23" xfId="1" applyFont="1" applyBorder="1" applyAlignment="1" applyProtection="1">
      <alignment horizontal="center" vertical="center"/>
      <protection locked="0"/>
    </xf>
    <xf numFmtId="0" fontId="32" fillId="3" borderId="0" xfId="0" applyFont="1" applyFill="1" applyAlignment="1">
      <alignment horizontal="center" vertical="center"/>
    </xf>
    <xf numFmtId="0" fontId="7" fillId="16" borderId="1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33" fillId="2" borderId="1" xfId="0" applyFont="1" applyFill="1" applyBorder="1" applyAlignment="1">
      <alignment horizontal="center" vertical="center"/>
    </xf>
    <xf numFmtId="0" fontId="0" fillId="11" borderId="1" xfId="0" applyFill="1" applyBorder="1" applyAlignment="1" applyProtection="1">
      <alignment horizontal="center" vertical="center" wrapText="1"/>
      <protection locked="0"/>
    </xf>
    <xf numFmtId="0" fontId="7" fillId="16" borderId="1" xfId="0" applyFont="1" applyFill="1" applyBorder="1" applyAlignment="1">
      <alignment horizontal="right" vertical="center" wrapText="1"/>
    </xf>
    <xf numFmtId="0" fontId="14" fillId="16" borderId="1" xfId="0" applyFont="1" applyFill="1" applyBorder="1" applyAlignment="1">
      <alignment horizontal="right" vertical="center" wrapText="1"/>
    </xf>
    <xf numFmtId="0" fontId="30" fillId="1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0" fontId="0" fillId="3" borderId="3" xfId="0" applyFill="1" applyBorder="1" applyAlignment="1">
      <alignment horizontal="center"/>
    </xf>
    <xf numFmtId="0" fontId="7" fillId="3" borderId="3" xfId="0" applyFont="1" applyFill="1" applyBorder="1" applyAlignment="1">
      <alignment horizontal="center" vertical="center" wrapText="1"/>
    </xf>
    <xf numFmtId="0" fontId="0" fillId="11" borderId="1" xfId="0" applyFill="1" applyBorder="1" applyAlignment="1" applyProtection="1">
      <alignment horizontal="center" vertical="center"/>
      <protection locked="0"/>
    </xf>
    <xf numFmtId="0" fontId="7" fillId="16" borderId="1" xfId="0" applyFont="1" applyFill="1" applyBorder="1" applyAlignment="1">
      <alignment horizontal="center"/>
    </xf>
    <xf numFmtId="0" fontId="33" fillId="5" borderId="1" xfId="0" applyFont="1" applyFill="1" applyBorder="1" applyAlignment="1">
      <alignment horizontal="center" vertical="center"/>
    </xf>
    <xf numFmtId="0" fontId="34" fillId="5" borderId="1" xfId="0" applyFont="1" applyFill="1" applyBorder="1" applyAlignment="1">
      <alignment horizontal="center" vertical="center"/>
    </xf>
    <xf numFmtId="0" fontId="12" fillId="16" borderId="1" xfId="0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center" vertical="center"/>
    </xf>
    <xf numFmtId="0" fontId="0" fillId="11" borderId="1" xfId="0" applyFill="1" applyBorder="1" applyAlignment="1" applyProtection="1">
      <alignment horizontal="center"/>
      <protection locked="0"/>
    </xf>
    <xf numFmtId="0" fontId="31" fillId="13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right" vertical="center"/>
    </xf>
    <xf numFmtId="0" fontId="12" fillId="10" borderId="1" xfId="0" applyFont="1" applyFill="1" applyBorder="1" applyAlignment="1" applyProtection="1">
      <alignment horizontal="center" vertical="center" wrapText="1"/>
      <protection locked="0"/>
    </xf>
    <xf numFmtId="0" fontId="12" fillId="18" borderId="14" xfId="0" applyFont="1" applyFill="1" applyBorder="1" applyAlignment="1">
      <alignment horizontal="center" vertical="center" wrapText="1"/>
    </xf>
    <xf numFmtId="0" fontId="12" fillId="18" borderId="13" xfId="0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right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12" fillId="18" borderId="4" xfId="0" applyFont="1" applyFill="1" applyBorder="1" applyAlignment="1">
      <alignment horizontal="center" vertical="center" wrapText="1"/>
    </xf>
    <xf numFmtId="0" fontId="12" fillId="18" borderId="5" xfId="0" applyFont="1" applyFill="1" applyBorder="1" applyAlignment="1">
      <alignment horizontal="center" vertical="center" wrapText="1"/>
    </xf>
    <xf numFmtId="0" fontId="12" fillId="18" borderId="9" xfId="0" applyFont="1" applyFill="1" applyBorder="1" applyAlignment="1">
      <alignment horizontal="center" vertical="center" wrapText="1"/>
    </xf>
    <xf numFmtId="0" fontId="12" fillId="18" borderId="11" xfId="0" applyFont="1" applyFill="1" applyBorder="1" applyAlignment="1">
      <alignment horizontal="center" vertical="center" wrapText="1"/>
    </xf>
    <xf numFmtId="0" fontId="15" fillId="16" borderId="1" xfId="0" applyFont="1" applyFill="1" applyBorder="1" applyAlignment="1">
      <alignment horizontal="right" vertical="center" wrapText="1"/>
    </xf>
    <xf numFmtId="0" fontId="12" fillId="3" borderId="3" xfId="0" applyFont="1" applyFill="1" applyBorder="1" applyAlignment="1">
      <alignment horizontal="center" vertical="center"/>
    </xf>
    <xf numFmtId="0" fontId="35" fillId="3" borderId="0" xfId="0" applyFont="1" applyFill="1" applyAlignment="1">
      <alignment horizontal="center" vertical="center"/>
    </xf>
    <xf numFmtId="0" fontId="12" fillId="16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17" borderId="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16" borderId="1" xfId="0" applyFont="1" applyFill="1" applyBorder="1" applyAlignment="1">
      <alignment horizontal="center" vertical="center"/>
    </xf>
    <xf numFmtId="0" fontId="0" fillId="16" borderId="1" xfId="0" applyFill="1" applyBorder="1" applyAlignment="1" applyProtection="1">
      <alignment horizontal="center" vertical="center"/>
      <protection locked="0"/>
    </xf>
    <xf numFmtId="0" fontId="30" fillId="13" borderId="1" xfId="0" applyFont="1" applyFill="1" applyBorder="1" applyAlignment="1">
      <alignment horizontal="center" vertical="center"/>
    </xf>
    <xf numFmtId="0" fontId="29" fillId="17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17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40" fillId="16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41" fillId="13" borderId="1" xfId="0" applyFont="1" applyFill="1" applyBorder="1" applyAlignment="1">
      <alignment horizontal="center" vertical="center"/>
    </xf>
    <xf numFmtId="0" fontId="38" fillId="3" borderId="0" xfId="0" applyFont="1" applyFill="1" applyAlignment="1">
      <alignment horizontal="center" vertical="center" wrapText="1"/>
    </xf>
    <xf numFmtId="0" fontId="47" fillId="0" borderId="16" xfId="1" applyFont="1" applyBorder="1" applyAlignment="1" applyProtection="1">
      <alignment horizontal="center" vertical="center" wrapText="1"/>
      <protection locked="0"/>
    </xf>
    <xf numFmtId="0" fontId="47" fillId="0" borderId="18" xfId="1" applyFont="1" applyBorder="1" applyAlignment="1" applyProtection="1">
      <alignment horizontal="center" vertical="center" wrapText="1"/>
      <protection locked="0"/>
    </xf>
    <xf numFmtId="0" fontId="47" fillId="0" borderId="19" xfId="1" applyFont="1" applyBorder="1" applyAlignment="1" applyProtection="1">
      <alignment horizontal="center" vertical="center" wrapText="1"/>
      <protection locked="0"/>
    </xf>
    <xf numFmtId="0" fontId="47" fillId="0" borderId="20" xfId="1" applyFont="1" applyBorder="1" applyAlignment="1" applyProtection="1">
      <alignment horizontal="center" vertical="center" wrapText="1"/>
      <protection locked="0"/>
    </xf>
    <xf numFmtId="0" fontId="47" fillId="0" borderId="21" xfId="1" applyFont="1" applyBorder="1" applyAlignment="1" applyProtection="1">
      <alignment horizontal="center" vertical="center" wrapText="1"/>
      <protection locked="0"/>
    </xf>
    <xf numFmtId="0" fontId="47" fillId="0" borderId="23" xfId="1" applyFont="1" applyBorder="1" applyAlignment="1" applyProtection="1">
      <alignment horizontal="center" vertical="center" wrapText="1"/>
      <protection locked="0"/>
    </xf>
    <xf numFmtId="0" fontId="49" fillId="0" borderId="24" xfId="1" applyFont="1" applyFill="1" applyBorder="1" applyAlignment="1" applyProtection="1">
      <alignment horizontal="center" vertical="center"/>
      <protection locked="0"/>
    </xf>
    <xf numFmtId="0" fontId="49" fillId="0" borderId="25" xfId="1" applyFont="1" applyFill="1" applyBorder="1" applyAlignment="1" applyProtection="1">
      <alignment horizontal="center" vertical="center"/>
      <protection locked="0"/>
    </xf>
    <xf numFmtId="0" fontId="49" fillId="0" borderId="26" xfId="1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>
      <alignment horizontal="right" vertical="center"/>
    </xf>
    <xf numFmtId="0" fontId="0" fillId="16" borderId="1" xfId="0" applyFill="1" applyBorder="1" applyAlignment="1" applyProtection="1">
      <alignment horizontal="center"/>
      <protection locked="0"/>
    </xf>
    <xf numFmtId="0" fontId="43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 wrapText="1"/>
    </xf>
    <xf numFmtId="0" fontId="38" fillId="2" borderId="1" xfId="0" applyFont="1" applyFill="1" applyBorder="1" applyAlignment="1">
      <alignment horizontal="right" vertical="center" wrapText="1"/>
    </xf>
    <xf numFmtId="0" fontId="7" fillId="16" borderId="0" xfId="0" applyFont="1" applyFill="1" applyAlignment="1">
      <alignment horizontal="center" vertical="center" wrapText="1"/>
    </xf>
    <xf numFmtId="0" fontId="42" fillId="13" borderId="1" xfId="0" applyFont="1" applyFill="1" applyBorder="1" applyAlignment="1">
      <alignment horizontal="center" vertical="center"/>
    </xf>
    <xf numFmtId="0" fontId="39" fillId="3" borderId="0" xfId="0" applyFont="1" applyFill="1" applyAlignment="1">
      <alignment horizontal="center" vertical="center" wrapText="1"/>
    </xf>
    <xf numFmtId="0" fontId="49" fillId="0" borderId="24" xfId="1" applyFont="1" applyBorder="1" applyAlignment="1" applyProtection="1">
      <alignment horizontal="center" vertical="center" wrapText="1"/>
      <protection locked="0"/>
    </xf>
    <xf numFmtId="0" fontId="49" fillId="0" borderId="25" xfId="1" applyFont="1" applyBorder="1" applyAlignment="1" applyProtection="1">
      <alignment horizontal="center" vertical="center" wrapText="1"/>
      <protection locked="0"/>
    </xf>
    <xf numFmtId="0" fontId="49" fillId="0" borderId="26" xfId="1" applyFont="1" applyBorder="1" applyAlignment="1" applyProtection="1">
      <alignment horizontal="center" vertical="center" wrapText="1"/>
      <protection locked="0"/>
    </xf>
    <xf numFmtId="0" fontId="43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49" fontId="18" fillId="5" borderId="1" xfId="0" applyNumberFormat="1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right" vertical="center" wrapText="1"/>
    </xf>
  </cellXfs>
  <cellStyles count="2">
    <cellStyle name="Hyperlink" xfId="1" builtinId="8"/>
    <cellStyle name="Normal" xfId="0" builtinId="0"/>
  </cellStyles>
  <dxfs count="6">
    <dxf>
      <font>
        <b/>
        <i val="0"/>
        <strike val="0"/>
        <u val="double"/>
        <color rgb="FF7030A0"/>
      </font>
    </dxf>
    <dxf>
      <font>
        <b/>
        <i val="0"/>
        <strike val="0"/>
        <u val="double"/>
        <color rgb="FF7030A0"/>
      </font>
    </dxf>
    <dxf>
      <font>
        <b/>
        <i val="0"/>
        <strike val="0"/>
        <u val="double"/>
        <color rgb="FF7030A0"/>
      </font>
    </dxf>
    <dxf>
      <font>
        <strike val="0"/>
        <u/>
      </font>
    </dxf>
    <dxf>
      <font>
        <b/>
        <i val="0"/>
        <strike val="0"/>
        <u val="double"/>
        <color rgb="FFFF0000"/>
      </font>
    </dxf>
    <dxf>
      <font>
        <b/>
        <i val="0"/>
        <strike val="0"/>
        <u val="double"/>
        <color rgb="FF7030A0"/>
      </font>
    </dxf>
  </dxfs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5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F0000"/>
                </a:solidFill>
              </a:rPr>
              <a:t>SPHERE</a:t>
            </a:r>
            <a:r>
              <a:rPr lang="en-US" sz="1600" b="1" baseline="0">
                <a:solidFill>
                  <a:srgbClr val="FF0000"/>
                </a:solidFill>
              </a:rPr>
              <a:t> NOMOGRAM: MYOPIA</a:t>
            </a:r>
            <a:endParaRPr lang="en-US" sz="1600" b="1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4155643046325569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Right Eye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7150">
                <a:solidFill>
                  <a:schemeClr val="accent1"/>
                </a:solidFill>
              </a:ln>
              <a:effectLst/>
            </c:spPr>
          </c:marker>
          <c:xVal>
            <c:numRef>
              <c:f>'SPHERE NOMOGRAM'!$B$2</c:f>
              <c:numCache>
                <c:formatCode>@</c:formatCode>
                <c:ptCount val="1"/>
                <c:pt idx="0">
                  <c:v>0</c:v>
                </c:pt>
              </c:numCache>
            </c:numRef>
          </c:xVal>
          <c:yVal>
            <c:numRef>
              <c:f>'SPHERE NOMOGRAM'!$B$3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04-493C-8DA7-483630F47E9A}"/>
            </c:ext>
          </c:extLst>
        </c:ser>
        <c:ser>
          <c:idx val="1"/>
          <c:order val="1"/>
          <c:tx>
            <c:v>Left Eye</c:v>
          </c:tx>
          <c:spPr>
            <a:ln w="25400" cap="rnd">
              <a:noFill/>
              <a:round/>
            </a:ln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circle"/>
            <c:size val="5"/>
            <c:spPr>
              <a:solidFill>
                <a:srgbClr val="FFC000"/>
              </a:solidFill>
              <a:ln w="25400">
                <a:solidFill>
                  <a:srgbClr val="FFC000"/>
                </a:solidFill>
              </a:ln>
              <a:effectLst>
                <a:glow>
                  <a:schemeClr val="accent1">
                    <a:alpha val="40000"/>
                  </a:schemeClr>
                </a:glow>
              </a:effectLst>
            </c:spPr>
          </c:marker>
          <c:xVal>
            <c:numRef>
              <c:f>'SPHERE NOMOGRAM'!$C$2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'SPHERE NOMOGRAM'!$C$3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04-493C-8DA7-483630F47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647552"/>
        <c:axId val="115098752"/>
      </c:scatterChart>
      <c:valAx>
        <c:axId val="112647552"/>
        <c:scaling>
          <c:orientation val="maxMin"/>
          <c:max val="0"/>
          <c:min val="-14.25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@" sourceLinked="1"/>
        <c:majorTickMark val="out"/>
        <c:minorTickMark val="out"/>
        <c:tickLblPos val="high"/>
        <c:crossAx val="115098752"/>
        <c:crosses val="autoZero"/>
        <c:crossBetween val="midCat"/>
        <c:majorUnit val="0.25"/>
      </c:valAx>
      <c:valAx>
        <c:axId val="115098752"/>
        <c:scaling>
          <c:orientation val="minMax"/>
          <c:min val="-6.25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2647552"/>
        <c:crosses val="max"/>
        <c:crossBetween val="midCat"/>
        <c:majorUnit val="0.25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trlProps/ctrlProp1.xml><?xml version="1.0" encoding="utf-8"?>
<formControlPr xmlns="http://schemas.microsoft.com/office/spreadsheetml/2009/9/main" objectType="Drop" dropLines="3" dropStyle="combo" dx="68" fmlaLink="$BY$7" fmlaRange="$CD$6:$CD$8" sel="1" val="0"/>
</file>

<file path=xl/ctrlProps/ctrlProp2.xml><?xml version="1.0" encoding="utf-8"?>
<formControlPr xmlns="http://schemas.microsoft.com/office/spreadsheetml/2009/9/main" objectType="Drop" dropStyle="combo" dx="68" fmlaLink="$Y$4" fmlaRange="$AA$6:$AA$16" sel="2" val="0"/>
</file>

<file path=xl/ctrlProps/ctrlProp3.xml><?xml version="1.0" encoding="utf-8"?>
<formControlPr xmlns="http://schemas.microsoft.com/office/spreadsheetml/2009/9/main" objectType="Drop" dropStyle="combo" dx="68" fmlaLink="$Z$4" fmlaRange="$AB$6:$AB$16" sel="2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32</xdr:row>
      <xdr:rowOff>112888</xdr:rowOff>
    </xdr:from>
    <xdr:to>
      <xdr:col>9</xdr:col>
      <xdr:colOff>295327</xdr:colOff>
      <xdr:row>42</xdr:row>
      <xdr:rowOff>175258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032499"/>
          <a:ext cx="3463270" cy="186506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13</xdr:col>
          <xdr:colOff>281940</xdr:colOff>
          <xdr:row>21</xdr:row>
          <xdr:rowOff>22860</xdr:rowOff>
        </xdr:from>
        <xdr:to>
          <xdr:col>21</xdr:col>
          <xdr:colOff>381000</xdr:colOff>
          <xdr:row>22</xdr:row>
          <xdr:rowOff>15240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81573</xdr:colOff>
      <xdr:row>6</xdr:row>
      <xdr:rowOff>56905</xdr:rowOff>
    </xdr:from>
    <xdr:to>
      <xdr:col>7</xdr:col>
      <xdr:colOff>589573</xdr:colOff>
      <xdr:row>16</xdr:row>
      <xdr:rowOff>5048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22236" r="55794" b="20784"/>
        <a:stretch/>
      </xdr:blipFill>
      <xdr:spPr>
        <a:xfrm>
          <a:off x="3129573" y="1147151"/>
          <a:ext cx="1727200" cy="1765220"/>
        </a:xfrm>
        <a:prstGeom prst="rect">
          <a:avLst/>
        </a:prstGeom>
      </xdr:spPr>
    </xdr:pic>
    <xdr:clientData/>
  </xdr:twoCellAnchor>
  <xdr:twoCellAnchor>
    <xdr:from>
      <xdr:col>3</xdr:col>
      <xdr:colOff>597393</xdr:colOff>
      <xdr:row>8</xdr:row>
      <xdr:rowOff>56904</xdr:rowOff>
    </xdr:from>
    <xdr:to>
      <xdr:col>5</xdr:col>
      <xdr:colOff>281354</xdr:colOff>
      <xdr:row>8</xdr:row>
      <xdr:rowOff>64476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CxnSpPr>
          <a:cxnSpLocks/>
        </xdr:cNvCxnSpPr>
      </xdr:nvCxnSpPr>
      <xdr:spPr>
        <a:xfrm flipH="1" flipV="1">
          <a:off x="2426193" y="1510566"/>
          <a:ext cx="903161" cy="7572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5862</xdr:colOff>
      <xdr:row>11</xdr:row>
      <xdr:rowOff>11723</xdr:rowOff>
    </xdr:from>
    <xdr:to>
      <xdr:col>5</xdr:col>
      <xdr:colOff>65374</xdr:colOff>
      <xdr:row>11</xdr:row>
      <xdr:rowOff>146538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CxnSpPr>
          <a:stCxn id="13" idx="4"/>
        </xdr:cNvCxnSpPr>
      </xdr:nvCxnSpPr>
      <xdr:spPr>
        <a:xfrm flipH="1" flipV="1">
          <a:off x="2444262" y="2010508"/>
          <a:ext cx="669112" cy="134815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11</xdr:row>
      <xdr:rowOff>158261</xdr:rowOff>
    </xdr:from>
    <xdr:to>
      <xdr:col>5</xdr:col>
      <xdr:colOff>422031</xdr:colOff>
      <xdr:row>14</xdr:row>
      <xdr:rowOff>70338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CxnSpPr/>
      </xdr:nvCxnSpPr>
      <xdr:spPr>
        <a:xfrm flipH="1">
          <a:off x="2438400" y="2157046"/>
          <a:ext cx="1031631" cy="457200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52754</xdr:colOff>
      <xdr:row>11</xdr:row>
      <xdr:rowOff>23446</xdr:rowOff>
    </xdr:from>
    <xdr:to>
      <xdr:col>5</xdr:col>
      <xdr:colOff>141574</xdr:colOff>
      <xdr:row>12</xdr:row>
      <xdr:rowOff>70843</xdr:rowOff>
    </xdr:to>
    <xdr:sp macro="" textlink="">
      <xdr:nvSpPr>
        <xdr:cNvPr id="13" name="Freeform: Shap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3100754" y="2022231"/>
          <a:ext cx="88820" cy="229104"/>
        </a:xfrm>
        <a:custGeom>
          <a:avLst/>
          <a:gdLst>
            <a:gd name="connsiteX0" fmla="*/ 36066 w 88820"/>
            <a:gd name="connsiteY0" fmla="*/ 0 h 229104"/>
            <a:gd name="connsiteX1" fmla="*/ 897 w 88820"/>
            <a:gd name="connsiteY1" fmla="*/ 46892 h 229104"/>
            <a:gd name="connsiteX2" fmla="*/ 12620 w 88820"/>
            <a:gd name="connsiteY2" fmla="*/ 76200 h 229104"/>
            <a:gd name="connsiteX3" fmla="*/ 36066 w 88820"/>
            <a:gd name="connsiteY3" fmla="*/ 93785 h 229104"/>
            <a:gd name="connsiteX4" fmla="*/ 12620 w 88820"/>
            <a:gd name="connsiteY4" fmla="*/ 123092 h 229104"/>
            <a:gd name="connsiteX5" fmla="*/ 41928 w 88820"/>
            <a:gd name="connsiteY5" fmla="*/ 146539 h 229104"/>
            <a:gd name="connsiteX6" fmla="*/ 24343 w 88820"/>
            <a:gd name="connsiteY6" fmla="*/ 216877 h 229104"/>
            <a:gd name="connsiteX7" fmla="*/ 88820 w 88820"/>
            <a:gd name="connsiteY7" fmla="*/ 228600 h 2291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88820" h="229104">
              <a:moveTo>
                <a:pt x="36066" y="0"/>
              </a:moveTo>
              <a:cubicBezTo>
                <a:pt x="20435" y="17096"/>
                <a:pt x="4805" y="34192"/>
                <a:pt x="897" y="46892"/>
              </a:cubicBezTo>
              <a:cubicBezTo>
                <a:pt x="-3011" y="59592"/>
                <a:pt x="6759" y="68385"/>
                <a:pt x="12620" y="76200"/>
              </a:cubicBezTo>
              <a:cubicBezTo>
                <a:pt x="18481" y="84015"/>
                <a:pt x="36066" y="85970"/>
                <a:pt x="36066" y="93785"/>
              </a:cubicBezTo>
              <a:cubicBezTo>
                <a:pt x="36066" y="101600"/>
                <a:pt x="12620" y="123092"/>
                <a:pt x="12620" y="123092"/>
              </a:cubicBezTo>
              <a:cubicBezTo>
                <a:pt x="13597" y="131884"/>
                <a:pt x="39974" y="130908"/>
                <a:pt x="41928" y="146539"/>
              </a:cubicBezTo>
              <a:cubicBezTo>
                <a:pt x="43882" y="162170"/>
                <a:pt x="16528" y="203200"/>
                <a:pt x="24343" y="216877"/>
              </a:cubicBezTo>
              <a:cubicBezTo>
                <a:pt x="32158" y="230554"/>
                <a:pt x="60489" y="229577"/>
                <a:pt x="88820" y="228600"/>
              </a:cubicBezTo>
            </a:path>
          </a:pathLst>
        </a:cu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23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12</xdr:col>
      <xdr:colOff>457200</xdr:colOff>
      <xdr:row>47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58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12</xdr:col>
      <xdr:colOff>457200</xdr:colOff>
      <xdr:row>71</xdr:row>
      <xdr:rowOff>63500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916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12</xdr:col>
      <xdr:colOff>457200</xdr:colOff>
      <xdr:row>95</xdr:row>
      <xdr:rowOff>63500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874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9525</xdr:rowOff>
    </xdr:from>
    <xdr:to>
      <xdr:col>12</xdr:col>
      <xdr:colOff>457200</xdr:colOff>
      <xdr:row>119</xdr:row>
      <xdr:rowOff>73025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2725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12</xdr:col>
      <xdr:colOff>457200</xdr:colOff>
      <xdr:row>143</xdr:row>
      <xdr:rowOff>63500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790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12</xdr:col>
      <xdr:colOff>457200</xdr:colOff>
      <xdr:row>167</xdr:row>
      <xdr:rowOff>63500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748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12</xdr:col>
      <xdr:colOff>457200</xdr:colOff>
      <xdr:row>191</xdr:row>
      <xdr:rowOff>63500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706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12</xdr:col>
      <xdr:colOff>457200</xdr:colOff>
      <xdr:row>215</xdr:row>
      <xdr:rowOff>63500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664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12</xdr:col>
      <xdr:colOff>457200</xdr:colOff>
      <xdr:row>239</xdr:row>
      <xdr:rowOff>63500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62200"/>
          <a:ext cx="7772400" cy="4371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513292</xdr:colOff>
      <xdr:row>36</xdr:row>
      <xdr:rowOff>58208</xdr:rowOff>
    </xdr:from>
    <xdr:to>
      <xdr:col>35</xdr:col>
      <xdr:colOff>508753</xdr:colOff>
      <xdr:row>37</xdr:row>
      <xdr:rowOff>33311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38267" y="6239933"/>
          <a:ext cx="8590544075" cy="160867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4</xdr:row>
      <xdr:rowOff>152400</xdr:rowOff>
    </xdr:from>
    <xdr:to>
      <xdr:col>15</xdr:col>
      <xdr:colOff>463549</xdr:colOff>
      <xdr:row>12</xdr:row>
      <xdr:rowOff>107950</xdr:rowOff>
    </xdr:to>
    <xdr:pic>
      <xdr:nvPicPr>
        <xdr:cNvPr id="4" name="Picture 3" descr="TALUS COLOUR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7401"/>
        <a:stretch>
          <a:fillRect/>
        </a:stretch>
      </xdr:blipFill>
      <xdr:spPr>
        <a:xfrm>
          <a:off x="10782300" y="889000"/>
          <a:ext cx="990599" cy="1428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513292</xdr:colOff>
      <xdr:row>36</xdr:row>
      <xdr:rowOff>58208</xdr:rowOff>
    </xdr:from>
    <xdr:to>
      <xdr:col>35</xdr:col>
      <xdr:colOff>508643</xdr:colOff>
      <xdr:row>37</xdr:row>
      <xdr:rowOff>31221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38267" y="6239933"/>
          <a:ext cx="8590544075" cy="1608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184149</xdr:rowOff>
    </xdr:from>
    <xdr:to>
      <xdr:col>6</xdr:col>
      <xdr:colOff>1292225</xdr:colOff>
      <xdr:row>83</xdr:row>
      <xdr:rowOff>1057</xdr:rowOff>
    </xdr:to>
    <xdr:pic>
      <xdr:nvPicPr>
        <xdr:cNvPr id="4" name="Picture 3" descr="TALUS COLOUR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9800" y="4972049"/>
          <a:ext cx="3705225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547689</xdr:colOff>
      <xdr:row>19</xdr:row>
      <xdr:rowOff>73025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257175</xdr:colOff>
      <xdr:row>1</xdr:row>
      <xdr:rowOff>22225</xdr:rowOff>
    </xdr:from>
    <xdr:to>
      <xdr:col>15</xdr:col>
      <xdr:colOff>558800</xdr:colOff>
      <xdr:row>2</xdr:row>
      <xdr:rowOff>114300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8791575" y="209550"/>
          <a:ext cx="911225" cy="2794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600" b="1"/>
            <a:t>-2.00</a:t>
          </a:r>
        </a:p>
      </xdr:txBody>
    </xdr:sp>
    <xdr:clientData/>
  </xdr:twoCellAnchor>
  <xdr:twoCellAnchor>
    <xdr:from>
      <xdr:col>15</xdr:col>
      <xdr:colOff>320675</xdr:colOff>
      <xdr:row>2</xdr:row>
      <xdr:rowOff>60325</xdr:rowOff>
    </xdr:from>
    <xdr:to>
      <xdr:col>17</xdr:col>
      <xdr:colOff>12700</xdr:colOff>
      <xdr:row>3</xdr:row>
      <xdr:rowOff>152400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9464675" y="434975"/>
          <a:ext cx="911225" cy="2794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600" b="1"/>
            <a:t>-2.25</a:t>
          </a:r>
        </a:p>
      </xdr:txBody>
    </xdr:sp>
    <xdr:clientData/>
  </xdr:twoCellAnchor>
  <xdr:twoCellAnchor>
    <xdr:from>
      <xdr:col>15</xdr:col>
      <xdr:colOff>295275</xdr:colOff>
      <xdr:row>12</xdr:row>
      <xdr:rowOff>98425</xdr:rowOff>
    </xdr:from>
    <xdr:to>
      <xdr:col>16</xdr:col>
      <xdr:colOff>596900</xdr:colOff>
      <xdr:row>14</xdr:row>
      <xdr:rowOff>3175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9439275" y="2346325"/>
          <a:ext cx="911225" cy="2794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600" b="1"/>
            <a:t>-2.25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601980</xdr:colOff>
          <xdr:row>6</xdr:row>
          <xdr:rowOff>0</xdr:rowOff>
        </xdr:from>
        <xdr:to>
          <xdr:col>17</xdr:col>
          <xdr:colOff>556260</xdr:colOff>
          <xdr:row>7</xdr:row>
          <xdr:rowOff>53340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15240</xdr:colOff>
          <xdr:row>6</xdr:row>
          <xdr:rowOff>15240</xdr:rowOff>
        </xdr:from>
        <xdr:to>
          <xdr:col>19</xdr:col>
          <xdr:colOff>571500</xdr:colOff>
          <xdr:row>7</xdr:row>
          <xdr:rowOff>60960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4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0.06077</cdr:x>
      <cdr:y>0.05769</cdr:y>
    </cdr:from>
    <cdr:to>
      <cdr:x>0.15479</cdr:x>
      <cdr:y>0.13462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C423CCE-F388-426F-ACA0-50D7A043E24E}"/>
            </a:ext>
          </a:extLst>
        </cdr:cNvPr>
        <cdr:cNvSpPr txBox="1"/>
      </cdr:nvSpPr>
      <cdr:spPr>
        <a:xfrm xmlns:a="http://schemas.openxmlformats.org/drawingml/2006/main">
          <a:off x="588964" y="209542"/>
          <a:ext cx="911213" cy="279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/>
            <a:t>+0.25</a:t>
          </a:r>
        </a:p>
      </cdr:txBody>
    </cdr:sp>
  </cdr:relSizeAnchor>
  <cdr:relSizeAnchor xmlns:cdr="http://schemas.openxmlformats.org/drawingml/2006/chartDrawing">
    <cdr:from>
      <cdr:x>0.2362</cdr:x>
      <cdr:y>0.05594</cdr:y>
    </cdr:from>
    <cdr:to>
      <cdr:x>0.36446</cdr:x>
      <cdr:y>0.13287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46746DF-7757-4AF6-9AA1-5EA54B76C624}"/>
            </a:ext>
          </a:extLst>
        </cdr:cNvPr>
        <cdr:cNvSpPr txBox="1"/>
      </cdr:nvSpPr>
      <cdr:spPr>
        <a:xfrm xmlns:a="http://schemas.openxmlformats.org/drawingml/2006/main">
          <a:off x="2289175" y="203200"/>
          <a:ext cx="1243014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NO CHANGE</a:t>
          </a:r>
        </a:p>
      </cdr:txBody>
    </cdr:sp>
  </cdr:relSizeAnchor>
  <cdr:relSizeAnchor xmlns:cdr="http://schemas.openxmlformats.org/drawingml/2006/chartDrawing">
    <cdr:from>
      <cdr:x>0.38919</cdr:x>
      <cdr:y>0.05507</cdr:y>
    </cdr:from>
    <cdr:to>
      <cdr:x>0.48321</cdr:x>
      <cdr:y>0.13199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E32FB65F-52B7-4765-B378-7D92F6CD699A}"/>
            </a:ext>
          </a:extLst>
        </cdr:cNvPr>
        <cdr:cNvSpPr txBox="1"/>
      </cdr:nvSpPr>
      <cdr:spPr>
        <a:xfrm xmlns:a="http://schemas.openxmlformats.org/drawingml/2006/main">
          <a:off x="3771900" y="200025"/>
          <a:ext cx="911225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-0.25</a:t>
          </a:r>
        </a:p>
      </cdr:txBody>
    </cdr:sp>
  </cdr:relSizeAnchor>
  <cdr:relSizeAnchor xmlns:cdr="http://schemas.openxmlformats.org/drawingml/2006/chartDrawing">
    <cdr:from>
      <cdr:x>0.48419</cdr:x>
      <cdr:y>0.05594</cdr:y>
    </cdr:from>
    <cdr:to>
      <cdr:x>0.57821</cdr:x>
      <cdr:y>0.13287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8360D0CF-ADA6-4EAA-9EC7-229E83326D7B}"/>
            </a:ext>
          </a:extLst>
        </cdr:cNvPr>
        <cdr:cNvSpPr txBox="1"/>
      </cdr:nvSpPr>
      <cdr:spPr>
        <a:xfrm xmlns:a="http://schemas.openxmlformats.org/drawingml/2006/main">
          <a:off x="4692650" y="203200"/>
          <a:ext cx="911225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-0.50</a:t>
          </a:r>
        </a:p>
      </cdr:txBody>
    </cdr:sp>
  </cdr:relSizeAnchor>
  <cdr:relSizeAnchor xmlns:cdr="http://schemas.openxmlformats.org/drawingml/2006/chartDrawing">
    <cdr:from>
      <cdr:x>0.59066</cdr:x>
      <cdr:y>0.05594</cdr:y>
    </cdr:from>
    <cdr:to>
      <cdr:x>0.68468</cdr:x>
      <cdr:y>0.13287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991DAC65-1FE8-48E9-9310-FD297B40A6F6}"/>
            </a:ext>
          </a:extLst>
        </cdr:cNvPr>
        <cdr:cNvSpPr txBox="1"/>
      </cdr:nvSpPr>
      <cdr:spPr>
        <a:xfrm xmlns:a="http://schemas.openxmlformats.org/drawingml/2006/main">
          <a:off x="5724525" y="203200"/>
          <a:ext cx="911225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-0.75</a:t>
          </a:r>
        </a:p>
      </cdr:txBody>
    </cdr:sp>
  </cdr:relSizeAnchor>
  <cdr:relSizeAnchor xmlns:cdr="http://schemas.openxmlformats.org/drawingml/2006/chartDrawing">
    <cdr:from>
      <cdr:x>0.6706</cdr:x>
      <cdr:y>0.05507</cdr:y>
    </cdr:from>
    <cdr:to>
      <cdr:x>0.76462</cdr:x>
      <cdr:y>0.13199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991DAC65-1FE8-48E9-9310-FD297B40A6F6}"/>
            </a:ext>
          </a:extLst>
        </cdr:cNvPr>
        <cdr:cNvSpPr txBox="1"/>
      </cdr:nvSpPr>
      <cdr:spPr>
        <a:xfrm xmlns:a="http://schemas.openxmlformats.org/drawingml/2006/main">
          <a:off x="6499225" y="200025"/>
          <a:ext cx="911225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-1.00</a:t>
          </a:r>
        </a:p>
      </cdr:txBody>
    </cdr:sp>
  </cdr:relSizeAnchor>
  <cdr:relSizeAnchor xmlns:cdr="http://schemas.openxmlformats.org/drawingml/2006/chartDrawing">
    <cdr:from>
      <cdr:x>0.743</cdr:x>
      <cdr:y>0.05507</cdr:y>
    </cdr:from>
    <cdr:to>
      <cdr:x>0.83702</cdr:x>
      <cdr:y>0.13199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991DAC65-1FE8-48E9-9310-FD297B40A6F6}"/>
            </a:ext>
          </a:extLst>
        </cdr:cNvPr>
        <cdr:cNvSpPr txBox="1"/>
      </cdr:nvSpPr>
      <cdr:spPr>
        <a:xfrm xmlns:a="http://schemas.openxmlformats.org/drawingml/2006/main">
          <a:off x="7200900" y="200025"/>
          <a:ext cx="911225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-1.25</a:t>
          </a:r>
        </a:p>
      </cdr:txBody>
    </cdr:sp>
  </cdr:relSizeAnchor>
  <cdr:relSizeAnchor xmlns:cdr="http://schemas.openxmlformats.org/drawingml/2006/chartDrawing">
    <cdr:from>
      <cdr:x>0.79934</cdr:x>
      <cdr:y>0.05332</cdr:y>
    </cdr:from>
    <cdr:to>
      <cdr:x>0.89337</cdr:x>
      <cdr:y>0.13024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991DAC65-1FE8-48E9-9310-FD297B40A6F6}"/>
            </a:ext>
          </a:extLst>
        </cdr:cNvPr>
        <cdr:cNvSpPr txBox="1"/>
      </cdr:nvSpPr>
      <cdr:spPr>
        <a:xfrm xmlns:a="http://schemas.openxmlformats.org/drawingml/2006/main">
          <a:off x="7747000" y="193675"/>
          <a:ext cx="911225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-1.50</a:t>
          </a:r>
        </a:p>
      </cdr:txBody>
    </cdr:sp>
  </cdr:relSizeAnchor>
  <cdr:relSizeAnchor xmlns:cdr="http://schemas.openxmlformats.org/drawingml/2006/chartDrawing">
    <cdr:from>
      <cdr:x>0.85209</cdr:x>
      <cdr:y>0.05332</cdr:y>
    </cdr:from>
    <cdr:to>
      <cdr:x>0.94611</cdr:x>
      <cdr:y>0.13024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991DAC65-1FE8-48E9-9310-FD297B40A6F6}"/>
            </a:ext>
          </a:extLst>
        </cdr:cNvPr>
        <cdr:cNvSpPr txBox="1"/>
      </cdr:nvSpPr>
      <cdr:spPr>
        <a:xfrm xmlns:a="http://schemas.openxmlformats.org/drawingml/2006/main">
          <a:off x="8258175" y="193675"/>
          <a:ext cx="911225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-1.75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98425</xdr:colOff>
      <xdr:row>11</xdr:row>
      <xdr:rowOff>22225</xdr:rowOff>
    </xdr:from>
    <xdr:to>
      <xdr:col>6</xdr:col>
      <xdr:colOff>425450</xdr:colOff>
      <xdr:row>18</xdr:row>
      <xdr:rowOff>174625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476625" y="2092325"/>
          <a:ext cx="327025" cy="1463675"/>
        </a:xfrm>
        <a:prstGeom prst="rightBrac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87313</xdr:colOff>
      <xdr:row>17</xdr:row>
      <xdr:rowOff>29949</xdr:rowOff>
    </xdr:from>
    <xdr:to>
      <xdr:col>10</xdr:col>
      <xdr:colOff>181429</xdr:colOff>
      <xdr:row>31</xdr:row>
      <xdr:rowOff>163485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7813" y="3224793"/>
          <a:ext cx="1927679" cy="2748942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6</xdr:col>
      <xdr:colOff>448027</xdr:colOff>
      <xdr:row>5</xdr:row>
      <xdr:rowOff>35278</xdr:rowOff>
    </xdr:from>
    <xdr:to>
      <xdr:col>8</xdr:col>
      <xdr:colOff>578555</xdr:colOff>
      <xdr:row>15</xdr:row>
      <xdr:rowOff>3528</xdr:rowOff>
    </xdr:to>
    <xdr:sp macro="" textlink="">
      <xdr:nvSpPr>
        <xdr:cNvPr id="2" name="Freeform: Shap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834694" y="980722"/>
          <a:ext cx="1351139" cy="1859139"/>
        </a:xfrm>
        <a:custGeom>
          <a:avLst/>
          <a:gdLst>
            <a:gd name="connsiteX0" fmla="*/ 0 w 1351139"/>
            <a:gd name="connsiteY0" fmla="*/ 1859139 h 1859139"/>
            <a:gd name="connsiteX1" fmla="*/ 458612 w 1351139"/>
            <a:gd name="connsiteY1" fmla="*/ 1781528 h 1859139"/>
            <a:gd name="connsiteX2" fmla="*/ 709084 w 1351139"/>
            <a:gd name="connsiteY2" fmla="*/ 1516945 h 1859139"/>
            <a:gd name="connsiteX3" fmla="*/ 412750 w 1351139"/>
            <a:gd name="connsiteY3" fmla="*/ 829028 h 1859139"/>
            <a:gd name="connsiteX4" fmla="*/ 462139 w 1351139"/>
            <a:gd name="connsiteY4" fmla="*/ 236361 h 1859139"/>
            <a:gd name="connsiteX5" fmla="*/ 1351139 w 1351139"/>
            <a:gd name="connsiteY5" fmla="*/ 0 h 18591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51139" h="1859139">
              <a:moveTo>
                <a:pt x="0" y="1859139"/>
              </a:moveTo>
              <a:cubicBezTo>
                <a:pt x="170215" y="1848849"/>
                <a:pt x="340431" y="1838560"/>
                <a:pt x="458612" y="1781528"/>
              </a:cubicBezTo>
              <a:cubicBezTo>
                <a:pt x="576793" y="1724496"/>
                <a:pt x="716728" y="1675695"/>
                <a:pt x="709084" y="1516945"/>
              </a:cubicBezTo>
              <a:cubicBezTo>
                <a:pt x="701440" y="1358195"/>
                <a:pt x="453907" y="1042459"/>
                <a:pt x="412750" y="829028"/>
              </a:cubicBezTo>
              <a:cubicBezTo>
                <a:pt x="371593" y="615597"/>
                <a:pt x="305741" y="374532"/>
                <a:pt x="462139" y="236361"/>
              </a:cubicBezTo>
              <a:cubicBezTo>
                <a:pt x="618537" y="98190"/>
                <a:pt x="984838" y="49095"/>
                <a:pt x="1351139" y="0"/>
              </a:cubicBezTo>
            </a:path>
          </a:pathLst>
        </a:custGeom>
        <a:noFill/>
        <a:ln w="38100">
          <a:solidFill>
            <a:srgbClr val="FF0000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11</xdr:col>
      <xdr:colOff>553357</xdr:colOff>
      <xdr:row>7</xdr:row>
      <xdr:rowOff>56438</xdr:rowOff>
    </xdr:from>
    <xdr:to>
      <xdr:col>16</xdr:col>
      <xdr:colOff>461053</xdr:colOff>
      <xdr:row>18</xdr:row>
      <xdr:rowOff>63500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607" y="1385969"/>
          <a:ext cx="2963634" cy="2058906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27216</xdr:colOff>
      <xdr:row>18</xdr:row>
      <xdr:rowOff>126502</xdr:rowOff>
    </xdr:from>
    <xdr:to>
      <xdr:col>16</xdr:col>
      <xdr:colOff>603250</xdr:colOff>
      <xdr:row>31</xdr:row>
      <xdr:rowOff>154781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841" y="3507877"/>
          <a:ext cx="2409597" cy="2457154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98425</xdr:colOff>
      <xdr:row>11</xdr:row>
      <xdr:rowOff>19050</xdr:rowOff>
    </xdr:from>
    <xdr:to>
      <xdr:col>6</xdr:col>
      <xdr:colOff>425450</xdr:colOff>
      <xdr:row>18</xdr:row>
      <xdr:rowOff>171450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3476625" y="2089150"/>
          <a:ext cx="327025" cy="1463675"/>
        </a:xfrm>
        <a:prstGeom prst="rightBrac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441614</xdr:colOff>
      <xdr:row>5</xdr:row>
      <xdr:rowOff>28864</xdr:rowOff>
    </xdr:from>
    <xdr:to>
      <xdr:col>8</xdr:col>
      <xdr:colOff>574708</xdr:colOff>
      <xdr:row>15</xdr:row>
      <xdr:rowOff>3207</xdr:rowOff>
    </xdr:to>
    <xdr:sp macro="" textlink="">
      <xdr:nvSpPr>
        <xdr:cNvPr id="6" name="Freeform: Shap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3821546" y="975591"/>
          <a:ext cx="1351139" cy="1859139"/>
        </a:xfrm>
        <a:custGeom>
          <a:avLst/>
          <a:gdLst>
            <a:gd name="connsiteX0" fmla="*/ 0 w 1351139"/>
            <a:gd name="connsiteY0" fmla="*/ 1859139 h 1859139"/>
            <a:gd name="connsiteX1" fmla="*/ 458612 w 1351139"/>
            <a:gd name="connsiteY1" fmla="*/ 1781528 h 1859139"/>
            <a:gd name="connsiteX2" fmla="*/ 709084 w 1351139"/>
            <a:gd name="connsiteY2" fmla="*/ 1516945 h 1859139"/>
            <a:gd name="connsiteX3" fmla="*/ 412750 w 1351139"/>
            <a:gd name="connsiteY3" fmla="*/ 829028 h 1859139"/>
            <a:gd name="connsiteX4" fmla="*/ 462139 w 1351139"/>
            <a:gd name="connsiteY4" fmla="*/ 236361 h 1859139"/>
            <a:gd name="connsiteX5" fmla="*/ 1351139 w 1351139"/>
            <a:gd name="connsiteY5" fmla="*/ 0 h 18591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51139" h="1859139">
              <a:moveTo>
                <a:pt x="0" y="1859139"/>
              </a:moveTo>
              <a:cubicBezTo>
                <a:pt x="170215" y="1848849"/>
                <a:pt x="340431" y="1838560"/>
                <a:pt x="458612" y="1781528"/>
              </a:cubicBezTo>
              <a:cubicBezTo>
                <a:pt x="576793" y="1724496"/>
                <a:pt x="716728" y="1675695"/>
                <a:pt x="709084" y="1516945"/>
              </a:cubicBezTo>
              <a:cubicBezTo>
                <a:pt x="701440" y="1358195"/>
                <a:pt x="453907" y="1042459"/>
                <a:pt x="412750" y="829028"/>
              </a:cubicBezTo>
              <a:cubicBezTo>
                <a:pt x="371593" y="615597"/>
                <a:pt x="305741" y="374532"/>
                <a:pt x="462139" y="236361"/>
              </a:cubicBezTo>
              <a:cubicBezTo>
                <a:pt x="618537" y="98190"/>
                <a:pt x="984838" y="49095"/>
                <a:pt x="1351139" y="0"/>
              </a:cubicBezTo>
            </a:path>
          </a:pathLst>
        </a:custGeom>
        <a:noFill/>
        <a:ln w="38100">
          <a:solidFill>
            <a:srgbClr val="FF0000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99219</xdr:colOff>
      <xdr:row>17</xdr:row>
      <xdr:rowOff>39578</xdr:rowOff>
    </xdr:from>
    <xdr:to>
      <xdr:col>10</xdr:col>
      <xdr:colOff>201642</xdr:colOff>
      <xdr:row>31</xdr:row>
      <xdr:rowOff>185034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9719" y="3226484"/>
          <a:ext cx="1935986" cy="2764831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575383</xdr:colOff>
      <xdr:row>7</xdr:row>
      <xdr:rowOff>46371</xdr:rowOff>
    </xdr:from>
    <xdr:to>
      <xdr:col>17</xdr:col>
      <xdr:colOff>0</xdr:colOff>
      <xdr:row>18</xdr:row>
      <xdr:rowOff>162041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0633" y="1375902"/>
          <a:ext cx="3091742" cy="2159577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28860</xdr:colOff>
      <xdr:row>19</xdr:row>
      <xdr:rowOff>47625</xdr:rowOff>
    </xdr:from>
    <xdr:to>
      <xdr:col>16</xdr:col>
      <xdr:colOff>600623</xdr:colOff>
      <xdr:row>32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485" y="3607594"/>
          <a:ext cx="2405326" cy="2385219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108683</xdr:colOff>
      <xdr:row>6</xdr:row>
      <xdr:rowOff>54219</xdr:rowOff>
    </xdr:from>
    <xdr:to>
      <xdr:col>7</xdr:col>
      <xdr:colOff>612321</xdr:colOff>
      <xdr:row>16</xdr:row>
      <xdr:rowOff>2362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22236" r="55794" b="20784"/>
        <a:stretch/>
      </xdr:blipFill>
      <xdr:spPr>
        <a:xfrm>
          <a:off x="3156683" y="1144465"/>
          <a:ext cx="1727200" cy="1765220"/>
        </a:xfrm>
        <a:prstGeom prst="rect">
          <a:avLst/>
        </a:prstGeom>
      </xdr:spPr>
    </xdr:pic>
    <xdr:clientData/>
  </xdr:twoCellAnchor>
  <xdr:twoCellAnchor>
    <xdr:from>
      <xdr:col>3</xdr:col>
      <xdr:colOff>603743</xdr:colOff>
      <xdr:row>8</xdr:row>
      <xdr:rowOff>52755</xdr:rowOff>
    </xdr:from>
    <xdr:to>
      <xdr:col>5</xdr:col>
      <xdr:colOff>304800</xdr:colOff>
      <xdr:row>8</xdr:row>
      <xdr:rowOff>70338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CxnSpPr>
          <a:cxnSpLocks/>
        </xdr:cNvCxnSpPr>
      </xdr:nvCxnSpPr>
      <xdr:spPr>
        <a:xfrm flipH="1" flipV="1">
          <a:off x="2432543" y="1506417"/>
          <a:ext cx="920257" cy="17583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5862</xdr:colOff>
      <xdr:row>10</xdr:row>
      <xdr:rowOff>164124</xdr:rowOff>
    </xdr:from>
    <xdr:to>
      <xdr:col>5</xdr:col>
      <xdr:colOff>93784</xdr:colOff>
      <xdr:row>11</xdr:row>
      <xdr:rowOff>140678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CxnSpPr>
          <a:stCxn id="23" idx="4"/>
        </xdr:cNvCxnSpPr>
      </xdr:nvCxnSpPr>
      <xdr:spPr>
        <a:xfrm flipH="1" flipV="1">
          <a:off x="2444262" y="1981201"/>
          <a:ext cx="697522" cy="158262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81164</xdr:colOff>
      <xdr:row>11</xdr:row>
      <xdr:rowOff>17586</xdr:rowOff>
    </xdr:from>
    <xdr:to>
      <xdr:col>5</xdr:col>
      <xdr:colOff>169984</xdr:colOff>
      <xdr:row>12</xdr:row>
      <xdr:rowOff>64983</xdr:rowOff>
    </xdr:to>
    <xdr:sp macro="" textlink="">
      <xdr:nvSpPr>
        <xdr:cNvPr id="23" name="Freeform: Shap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3129164" y="2016371"/>
          <a:ext cx="88820" cy="229104"/>
        </a:xfrm>
        <a:custGeom>
          <a:avLst/>
          <a:gdLst>
            <a:gd name="connsiteX0" fmla="*/ 36066 w 88820"/>
            <a:gd name="connsiteY0" fmla="*/ 0 h 229104"/>
            <a:gd name="connsiteX1" fmla="*/ 897 w 88820"/>
            <a:gd name="connsiteY1" fmla="*/ 46892 h 229104"/>
            <a:gd name="connsiteX2" fmla="*/ 12620 w 88820"/>
            <a:gd name="connsiteY2" fmla="*/ 76200 h 229104"/>
            <a:gd name="connsiteX3" fmla="*/ 36066 w 88820"/>
            <a:gd name="connsiteY3" fmla="*/ 93785 h 229104"/>
            <a:gd name="connsiteX4" fmla="*/ 12620 w 88820"/>
            <a:gd name="connsiteY4" fmla="*/ 123092 h 229104"/>
            <a:gd name="connsiteX5" fmla="*/ 41928 w 88820"/>
            <a:gd name="connsiteY5" fmla="*/ 146539 h 229104"/>
            <a:gd name="connsiteX6" fmla="*/ 24343 w 88820"/>
            <a:gd name="connsiteY6" fmla="*/ 216877 h 229104"/>
            <a:gd name="connsiteX7" fmla="*/ 88820 w 88820"/>
            <a:gd name="connsiteY7" fmla="*/ 228600 h 2291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88820" h="229104">
              <a:moveTo>
                <a:pt x="36066" y="0"/>
              </a:moveTo>
              <a:cubicBezTo>
                <a:pt x="20435" y="17096"/>
                <a:pt x="4805" y="34192"/>
                <a:pt x="897" y="46892"/>
              </a:cubicBezTo>
              <a:cubicBezTo>
                <a:pt x="-3011" y="59592"/>
                <a:pt x="6759" y="68385"/>
                <a:pt x="12620" y="76200"/>
              </a:cubicBezTo>
              <a:cubicBezTo>
                <a:pt x="18481" y="84015"/>
                <a:pt x="36066" y="85970"/>
                <a:pt x="36066" y="93785"/>
              </a:cubicBezTo>
              <a:cubicBezTo>
                <a:pt x="36066" y="101600"/>
                <a:pt x="12620" y="123092"/>
                <a:pt x="12620" y="123092"/>
              </a:cubicBezTo>
              <a:cubicBezTo>
                <a:pt x="13597" y="131884"/>
                <a:pt x="39974" y="130908"/>
                <a:pt x="41928" y="146539"/>
              </a:cubicBezTo>
              <a:cubicBezTo>
                <a:pt x="43882" y="162170"/>
                <a:pt x="16528" y="203200"/>
                <a:pt x="24343" y="216877"/>
              </a:cubicBezTo>
              <a:cubicBezTo>
                <a:pt x="32158" y="230554"/>
                <a:pt x="60489" y="229577"/>
                <a:pt x="88820" y="228600"/>
              </a:cubicBezTo>
            </a:path>
          </a:pathLst>
        </a:cu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597877</xdr:colOff>
      <xdr:row>12</xdr:row>
      <xdr:rowOff>41031</xdr:rowOff>
    </xdr:from>
    <xdr:to>
      <xdr:col>5</xdr:col>
      <xdr:colOff>463062</xdr:colOff>
      <xdr:row>14</xdr:row>
      <xdr:rowOff>11723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CxnSpPr/>
      </xdr:nvCxnSpPr>
      <xdr:spPr>
        <a:xfrm flipH="1">
          <a:off x="2426677" y="2221523"/>
          <a:ext cx="1084385" cy="334108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CU52"/>
  <sheetViews>
    <sheetView showGridLines="0" showRowColHeaders="0" showZeros="0" tabSelected="1" topLeftCell="D1" zoomScale="80" zoomScaleNormal="80" workbookViewId="0">
      <selection activeCell="E9" sqref="E9"/>
    </sheetView>
  </sheetViews>
  <sheetFormatPr defaultColWidth="0" defaultRowHeight="13.8" zeroHeight="1" outlineLevelCol="1" x14ac:dyDescent="0.25"/>
  <cols>
    <col min="1" max="3" width="8.77734375" style="125" hidden="1" customWidth="1"/>
    <col min="4" max="4" width="5" style="125" customWidth="1"/>
    <col min="5" max="6" width="8.77734375" style="125" customWidth="1"/>
    <col min="7" max="8" width="8.88671875" style="125" customWidth="1"/>
    <col min="9" max="9" width="5" style="125" customWidth="1"/>
    <col min="10" max="13" width="8.77734375" style="125" customWidth="1"/>
    <col min="14" max="14" width="4.21875" style="125" customWidth="1"/>
    <col min="15" max="27" width="8.77734375" style="125" customWidth="1"/>
    <col min="28" max="28" width="8.21875" style="125" customWidth="1"/>
    <col min="29" max="29" width="8.77734375" style="125" customWidth="1"/>
    <col min="30" max="30" width="8.77734375" style="125" hidden="1" customWidth="1" outlineLevel="1"/>
    <col min="31" max="31" width="41.6640625" style="125" hidden="1" customWidth="1" outlineLevel="1"/>
    <col min="32" max="32" width="15" style="125" hidden="1" customWidth="1" outlineLevel="1"/>
    <col min="33" max="33" width="19.21875" style="125" hidden="1" customWidth="1" outlineLevel="1"/>
    <col min="34" max="34" width="8.77734375" style="125" hidden="1" customWidth="1" outlineLevel="1"/>
    <col min="35" max="35" width="11.21875" style="125" hidden="1" customWidth="1" outlineLevel="1"/>
    <col min="36" max="36" width="13.77734375" style="125" hidden="1" customWidth="1" outlineLevel="1"/>
    <col min="37" max="37" width="12.33203125" style="125" hidden="1" customWidth="1" outlineLevel="1"/>
    <col min="38" max="38" width="12.5546875" style="125" hidden="1" customWidth="1" outlineLevel="1"/>
    <col min="39" max="57" width="8.77734375" style="125" hidden="1" customWidth="1" outlineLevel="1"/>
    <col min="58" max="58" width="23.5546875" style="125" hidden="1" customWidth="1" outlineLevel="1"/>
    <col min="59" max="64" width="8.77734375" style="125" hidden="1" customWidth="1" outlineLevel="1"/>
    <col min="65" max="16384" width="8.77734375" style="125" hidden="1"/>
  </cols>
  <sheetData>
    <row r="1" spans="1:99" x14ac:dyDescent="0.25">
      <c r="A1" s="124">
        <f>G9-H18</f>
        <v>0</v>
      </c>
      <c r="B1" s="124">
        <f>L9-M18</f>
        <v>0</v>
      </c>
      <c r="D1" s="19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7" t="s">
        <v>215</v>
      </c>
      <c r="S1" s="107" t="s">
        <v>216</v>
      </c>
      <c r="T1" s="224" t="s">
        <v>217</v>
      </c>
      <c r="U1" s="224"/>
      <c r="V1" s="2"/>
      <c r="W1" s="2"/>
      <c r="X1" s="2"/>
      <c r="Y1" s="2"/>
      <c r="Z1" s="2"/>
      <c r="AA1" s="2"/>
      <c r="AB1" s="2"/>
      <c r="AC1" s="191"/>
    </row>
    <row r="2" spans="1:99" x14ac:dyDescent="0.25">
      <c r="A2" s="125">
        <f>ABS(A1)</f>
        <v>0</v>
      </c>
      <c r="B2" s="125">
        <f>ABS(B1)</f>
        <v>0</v>
      </c>
      <c r="D2" s="191"/>
      <c r="E2" s="224" t="s">
        <v>0</v>
      </c>
      <c r="F2" s="224"/>
      <c r="G2" s="224"/>
      <c r="H2" s="224"/>
      <c r="I2" s="223"/>
      <c r="J2" s="223"/>
      <c r="K2" s="223"/>
      <c r="L2" s="223"/>
      <c r="M2" s="223"/>
      <c r="N2" s="255"/>
      <c r="O2" s="224" t="s">
        <v>1</v>
      </c>
      <c r="P2" s="224"/>
      <c r="Q2" s="224"/>
      <c r="R2" s="108"/>
      <c r="S2" s="108"/>
      <c r="T2" s="223"/>
      <c r="U2" s="223"/>
      <c r="V2" s="191"/>
      <c r="W2" s="265" t="s">
        <v>2</v>
      </c>
      <c r="X2" s="265"/>
      <c r="Y2" s="265"/>
      <c r="Z2" s="265"/>
      <c r="AA2" s="265"/>
      <c r="AB2" s="265"/>
      <c r="AC2" s="191"/>
      <c r="BM2" s="125" t="s">
        <v>110</v>
      </c>
      <c r="BR2" s="125" t="s">
        <v>111</v>
      </c>
      <c r="CN2" s="318" t="s">
        <v>83</v>
      </c>
      <c r="CO2" s="318"/>
      <c r="CP2" s="318"/>
      <c r="CQ2" s="318"/>
      <c r="CR2" s="318" t="s">
        <v>84</v>
      </c>
      <c r="CS2" s="318"/>
      <c r="CT2" s="318"/>
      <c r="CU2" s="318"/>
    </row>
    <row r="3" spans="1:99" x14ac:dyDescent="0.25">
      <c r="A3" s="125" t="str">
        <f>IF(AND(G9&lt;11, H18&gt;169), "1", "2")</f>
        <v>2</v>
      </c>
      <c r="D3" s="191"/>
      <c r="E3" s="235"/>
      <c r="F3" s="235"/>
      <c r="G3" s="235"/>
      <c r="H3" s="235"/>
      <c r="I3" s="235"/>
      <c r="J3" s="235"/>
      <c r="K3" s="235"/>
      <c r="L3" s="235"/>
      <c r="M3" s="235"/>
      <c r="N3" s="256"/>
      <c r="O3" s="227"/>
      <c r="P3" s="227"/>
      <c r="Q3" s="227"/>
      <c r="R3" s="227"/>
      <c r="S3" s="227"/>
      <c r="T3" s="227"/>
      <c r="U3" s="227"/>
      <c r="V3" s="191"/>
      <c r="W3" s="269" t="e">
        <f>IF((OR(O18&lt;300,O21&gt;40)), "RE LASIK unsafe, Reduce Optic Zone or Correction!!","RE RSB and PTA safe for LASIK")</f>
        <v>#DIV/0!</v>
      </c>
      <c r="X3" s="270"/>
      <c r="Y3" s="270"/>
      <c r="Z3" s="270"/>
      <c r="AA3" s="270"/>
      <c r="AB3" s="271"/>
      <c r="AC3" s="191"/>
      <c r="CN3" s="321"/>
      <c r="CO3" s="321"/>
      <c r="CP3" s="321"/>
      <c r="CQ3" s="321"/>
      <c r="CR3" s="321"/>
      <c r="CS3" s="321"/>
      <c r="CT3" s="321"/>
      <c r="CU3" s="321"/>
    </row>
    <row r="4" spans="1:99" x14ac:dyDescent="0.25">
      <c r="A4" s="125" t="str">
        <f>IF(OR(A2=2, A3=2), "BAD", "GOOD")</f>
        <v>GOOD</v>
      </c>
      <c r="D4" s="191"/>
      <c r="E4" s="224" t="s">
        <v>3</v>
      </c>
      <c r="F4" s="224"/>
      <c r="G4" s="224"/>
      <c r="H4" s="224"/>
      <c r="I4" s="223"/>
      <c r="J4" s="223"/>
      <c r="K4" s="223"/>
      <c r="L4" s="223"/>
      <c r="M4" s="223"/>
      <c r="N4" s="257"/>
      <c r="O4" s="225" t="s">
        <v>4</v>
      </c>
      <c r="P4" s="226"/>
      <c r="Q4" s="252"/>
      <c r="R4" s="253"/>
      <c r="S4" s="253"/>
      <c r="T4" s="253"/>
      <c r="U4" s="254"/>
      <c r="V4" s="191"/>
      <c r="W4" s="272" t="e">
        <f>IF((OR(S18&lt;300,S21&gt;40)), "LE LASIK unsafe, Reduce Optic Zone or Correction!!","LE RSB and PTA safe for LASIK")</f>
        <v>#DIV/0!</v>
      </c>
      <c r="X4" s="273"/>
      <c r="Y4" s="273"/>
      <c r="Z4" s="273"/>
      <c r="AA4" s="273"/>
      <c r="AB4" s="274"/>
      <c r="AC4" s="191"/>
      <c r="AI4" s="125" t="s">
        <v>5</v>
      </c>
      <c r="AJ4" s="125" t="s">
        <v>6</v>
      </c>
      <c r="AK4" s="125" t="s">
        <v>7</v>
      </c>
      <c r="AL4" s="125" t="s">
        <v>8</v>
      </c>
      <c r="BL4" s="125" t="s">
        <v>106</v>
      </c>
      <c r="BM4" s="125" t="s">
        <v>107</v>
      </c>
      <c r="BN4" s="125" t="s">
        <v>108</v>
      </c>
      <c r="BO4" s="125" t="s">
        <v>109</v>
      </c>
      <c r="BQ4" s="125" t="s">
        <v>106</v>
      </c>
      <c r="BR4" s="125" t="s">
        <v>107</v>
      </c>
      <c r="BS4" s="125" t="s">
        <v>108</v>
      </c>
      <c r="BT4" s="125" t="s">
        <v>109</v>
      </c>
      <c r="CN4" s="207" t="str">
        <f>IF(OR(AND(AW10=41, AW7&gt;=11), AND(AW10=42, AW7&gt;12)), "RING -1, STOP 8", "")</f>
        <v/>
      </c>
      <c r="CO4" s="263"/>
      <c r="CP4" s="321" t="str">
        <f>IF(OR(AND(AW10=41, AW7&lt;11), AND(AW10=42, AW7&lt;=12)), "RING 0, STOP 7.5", "")</f>
        <v/>
      </c>
      <c r="CQ4" s="321"/>
      <c r="CR4" s="321" t="str">
        <f>IF(OR(AND(BA10=41, BB7&gt;=11), AND(BA10=42, BB7&gt;12)), "RING -1, STOP 8", "")</f>
        <v/>
      </c>
      <c r="CS4" s="321"/>
      <c r="CT4" s="314" t="str">
        <f>IF(OR(AND(BA10=41, BB7&lt;11), AND(BA10=42, BB7&lt;=12)), "RING 0, STOP 7.5", "")</f>
        <v/>
      </c>
      <c r="CU4" s="315"/>
    </row>
    <row r="5" spans="1:99" x14ac:dyDescent="0.25">
      <c r="D5" s="191"/>
      <c r="E5" s="234"/>
      <c r="F5" s="234"/>
      <c r="G5" s="234"/>
      <c r="H5" s="234"/>
      <c r="I5" s="234"/>
      <c r="J5" s="234"/>
      <c r="K5" s="234"/>
      <c r="L5" s="234"/>
      <c r="M5" s="234"/>
      <c r="N5" s="256"/>
      <c r="O5" s="73"/>
      <c r="P5" s="73"/>
      <c r="Q5" s="73"/>
      <c r="R5" s="107" t="s">
        <v>215</v>
      </c>
      <c r="S5" s="107" t="s">
        <v>216</v>
      </c>
      <c r="T5" s="224" t="s">
        <v>217</v>
      </c>
      <c r="U5" s="224"/>
      <c r="V5" s="191"/>
      <c r="W5" s="266" t="str">
        <f>IF(AND(E17-AM11&lt;32, E17-AM11&gt;5), "RE Cornea excessively Flat, Reduce Correction!!!", "")</f>
        <v/>
      </c>
      <c r="X5" s="267"/>
      <c r="Y5" s="267"/>
      <c r="Z5" s="267"/>
      <c r="AA5" s="267"/>
      <c r="AB5" s="268"/>
      <c r="AC5" s="191"/>
      <c r="AE5" s="125" t="s">
        <v>9</v>
      </c>
      <c r="AI5" s="125">
        <f>ABS(G18)</f>
        <v>0</v>
      </c>
      <c r="AJ5" s="125">
        <f>ABS(F9)</f>
        <v>0</v>
      </c>
      <c r="AK5" s="125">
        <f>ABS(L18)</f>
        <v>0</v>
      </c>
      <c r="AL5" s="125">
        <f>ABS(K9)</f>
        <v>0</v>
      </c>
      <c r="AM5" s="300" t="s">
        <v>10</v>
      </c>
      <c r="AN5" s="300"/>
      <c r="AO5" s="300"/>
      <c r="AP5" s="300"/>
      <c r="AQ5" s="300"/>
      <c r="AR5" s="300"/>
      <c r="AS5" s="300"/>
      <c r="AT5" s="300"/>
      <c r="AU5" s="300"/>
      <c r="BL5" s="125">
        <f>E17</f>
        <v>0</v>
      </c>
      <c r="BM5" s="125">
        <f>F17</f>
        <v>0</v>
      </c>
      <c r="BN5" s="125">
        <f>G17</f>
        <v>0</v>
      </c>
      <c r="BO5" s="125">
        <f>H17</f>
        <v>0</v>
      </c>
      <c r="BQ5" s="125">
        <f>J17</f>
        <v>0</v>
      </c>
      <c r="BR5" s="125">
        <f>K17</f>
        <v>0</v>
      </c>
      <c r="BS5" s="125">
        <f>L17</f>
        <v>0</v>
      </c>
      <c r="BT5" s="125">
        <f>M17</f>
        <v>0</v>
      </c>
      <c r="CN5" s="245" t="str">
        <f>IF(OR(AND(AW10=43, AW7&lt;11), AND(AW10=44, AW7&lt;11), AND(AW10=45, AW7&lt;=12)), "RING 1, STOP 7.5", "")</f>
        <v/>
      </c>
      <c r="CO5" s="193"/>
      <c r="CP5" s="321" t="str">
        <f>IF(OR(AW10=46, AW10=47, AW10&gt;=48), "RING 2, STOP 7.5", "")</f>
        <v/>
      </c>
      <c r="CQ5" s="321"/>
      <c r="CR5" s="321" t="str">
        <f>IF(OR(AND(BA10=43, BB7&lt;11), AND(BA10=44, BB7&lt;11), AND(BA10=45, BB7&lt;=12)), "RING 1, STOP 7.5", "")</f>
        <v/>
      </c>
      <c r="CS5" s="321"/>
      <c r="CT5" s="314" t="str">
        <f>IF(OR(BA10=46, BA10=47, BA10&gt;=48), "RING 2, STOP 7.5", "")</f>
        <v/>
      </c>
      <c r="CU5" s="315"/>
    </row>
    <row r="6" spans="1:99" x14ac:dyDescent="0.25">
      <c r="D6" s="191"/>
      <c r="E6" s="234"/>
      <c r="F6" s="234"/>
      <c r="G6" s="234"/>
      <c r="H6" s="234"/>
      <c r="I6" s="234"/>
      <c r="J6" s="234"/>
      <c r="K6" s="234"/>
      <c r="L6" s="234"/>
      <c r="M6" s="234"/>
      <c r="N6" s="258"/>
      <c r="O6" s="114" t="s">
        <v>214</v>
      </c>
      <c r="P6" s="74"/>
      <c r="Q6" s="75" t="s">
        <v>218</v>
      </c>
      <c r="R6" s="108"/>
      <c r="S6" s="108"/>
      <c r="T6" s="223"/>
      <c r="U6" s="223"/>
      <c r="V6" s="191"/>
      <c r="W6" s="272" t="str">
        <f>IF(AND(J17-AR11&lt;32, J17-AR11&gt;5), "LE Cornea excessively Flat, Reduce Correction!!!", "")</f>
        <v/>
      </c>
      <c r="X6" s="273"/>
      <c r="Y6" s="273"/>
      <c r="Z6" s="273"/>
      <c r="AA6" s="273"/>
      <c r="AB6" s="274"/>
      <c r="AC6" s="191"/>
      <c r="AE6" s="125">
        <v>1</v>
      </c>
      <c r="AG6" s="125" t="s">
        <v>11</v>
      </c>
      <c r="AH6" s="125" t="s">
        <v>12</v>
      </c>
      <c r="AM6" s="300"/>
      <c r="AN6" s="300"/>
      <c r="AO6" s="300"/>
      <c r="AP6" s="300"/>
      <c r="AQ6" s="300"/>
      <c r="AR6" s="300"/>
      <c r="AS6" s="300"/>
      <c r="AT6" s="300"/>
      <c r="AU6" s="300"/>
      <c r="AW6" s="285" t="s">
        <v>13</v>
      </c>
      <c r="AX6" s="286"/>
      <c r="AY6" s="286"/>
      <c r="AZ6" s="286"/>
      <c r="BB6" s="287" t="s">
        <v>14</v>
      </c>
      <c r="BC6" s="287"/>
      <c r="BD6" s="287"/>
      <c r="BE6" s="288"/>
      <c r="BY6" s="125" t="s">
        <v>134</v>
      </c>
      <c r="CD6" s="125" t="s">
        <v>155</v>
      </c>
      <c r="CN6" s="316" t="str">
        <f>IF(AW10&lt;=40, "RING -1, STOP 7.5", "")</f>
        <v>RING -1, STOP 7.5</v>
      </c>
      <c r="CO6" s="317"/>
      <c r="CP6" s="321" t="str">
        <f>IF(OR(AND(AW10=43, AW7&gt;=11), AND(AW10=44, AW7&gt;=11), AND(AW10=45, AW7&gt;12)), "RING 0, STOP 8", "")</f>
        <v/>
      </c>
      <c r="CQ6" s="321"/>
      <c r="CR6" s="321" t="str">
        <f>IF(BA10&lt;=40, "RING -1, STOP 7.5", "")</f>
        <v>RING -1, STOP 7.5</v>
      </c>
      <c r="CS6" s="321"/>
      <c r="CT6" s="314" t="str">
        <f>IF(OR(AND(BA10=43, BB7&gt;=11), AND(BA10=44, BB7&gt;=11), AND(BA10=45, BB7&gt;12)), "RING 0, STOP 8", "")</f>
        <v/>
      </c>
      <c r="CU6" s="315"/>
    </row>
    <row r="7" spans="1:99" x14ac:dyDescent="0.25">
      <c r="D7" s="191"/>
      <c r="E7" s="236" t="s">
        <v>15</v>
      </c>
      <c r="F7" s="236"/>
      <c r="G7" s="236"/>
      <c r="H7" s="236"/>
      <c r="I7" s="237"/>
      <c r="J7" s="238" t="s">
        <v>16</v>
      </c>
      <c r="K7" s="238"/>
      <c r="L7" s="238"/>
      <c r="M7" s="238"/>
      <c r="N7" s="259"/>
      <c r="O7" s="215"/>
      <c r="P7" s="215"/>
      <c r="Q7" s="215"/>
      <c r="R7" s="202"/>
      <c r="S7" s="215"/>
      <c r="T7" s="215"/>
      <c r="U7" s="215"/>
      <c r="V7" s="191"/>
      <c r="W7" s="266" t="str">
        <f>IF(E24&gt;O9+0.5, "WARNING: RE Pupil large, try increasing optic zone!", "")</f>
        <v/>
      </c>
      <c r="X7" s="267"/>
      <c r="Y7" s="267"/>
      <c r="Z7" s="267"/>
      <c r="AA7" s="267"/>
      <c r="AB7" s="268"/>
      <c r="AC7" s="191"/>
      <c r="AG7" s="125">
        <f>H19-F19</f>
        <v>0</v>
      </c>
      <c r="AH7" s="125">
        <f>M19-K19</f>
        <v>0</v>
      </c>
      <c r="AM7" s="300"/>
      <c r="AN7" s="300"/>
      <c r="AO7" s="300"/>
      <c r="AP7" s="300"/>
      <c r="AQ7" s="300"/>
      <c r="AR7" s="300"/>
      <c r="AS7" s="300"/>
      <c r="AT7" s="300"/>
      <c r="AU7" s="300"/>
      <c r="AW7" s="207">
        <f>ROUND(E27, 2)</f>
        <v>0</v>
      </c>
      <c r="AX7" s="208"/>
      <c r="AY7" s="208"/>
      <c r="AZ7" s="208"/>
      <c r="BB7" s="283">
        <f>ROUND(J27, 2)</f>
        <v>0</v>
      </c>
      <c r="BC7" s="283"/>
      <c r="BD7" s="283"/>
      <c r="BE7" s="284"/>
      <c r="BY7" s="177">
        <v>1</v>
      </c>
      <c r="CD7" s="125" t="s">
        <v>154</v>
      </c>
      <c r="CN7" s="321"/>
      <c r="CO7" s="321"/>
      <c r="CP7" s="321"/>
      <c r="CQ7" s="321"/>
      <c r="CR7" s="321"/>
      <c r="CS7" s="321"/>
      <c r="CT7" s="321"/>
      <c r="CU7" s="321"/>
    </row>
    <row r="8" spans="1:99" x14ac:dyDescent="0.25">
      <c r="B8" s="125">
        <f>ABS(F9)</f>
        <v>0</v>
      </c>
      <c r="C8" s="125">
        <f>ABS(K9)</f>
        <v>0</v>
      </c>
      <c r="D8" s="191"/>
      <c r="E8" s="109" t="s">
        <v>66</v>
      </c>
      <c r="F8" s="109" t="s">
        <v>333</v>
      </c>
      <c r="G8" s="109" t="s">
        <v>19</v>
      </c>
      <c r="H8" s="109" t="s">
        <v>20</v>
      </c>
      <c r="I8" s="237"/>
      <c r="J8" s="110" t="s">
        <v>66</v>
      </c>
      <c r="K8" s="110" t="s">
        <v>333</v>
      </c>
      <c r="L8" s="110" t="s">
        <v>19</v>
      </c>
      <c r="M8" s="110" t="s">
        <v>20</v>
      </c>
      <c r="N8" s="257"/>
      <c r="O8" s="209" t="s">
        <v>21</v>
      </c>
      <c r="P8" s="210"/>
      <c r="Q8" s="211"/>
      <c r="R8" s="191"/>
      <c r="S8" s="228" t="s">
        <v>22</v>
      </c>
      <c r="T8" s="229"/>
      <c r="U8" s="230"/>
      <c r="V8" s="191"/>
      <c r="W8" s="272" t="str">
        <f>IF(J24&gt;S9+0.5, "WARNING: LE Pupil large, try increasing optic zone!", "")</f>
        <v/>
      </c>
      <c r="X8" s="273"/>
      <c r="Y8" s="273"/>
      <c r="Z8" s="273"/>
      <c r="AA8" s="273"/>
      <c r="AB8" s="274"/>
      <c r="AC8" s="191"/>
      <c r="CD8" s="125" t="s">
        <v>137</v>
      </c>
      <c r="CN8" s="321"/>
      <c r="CO8" s="321"/>
      <c r="CP8" s="321"/>
      <c r="CQ8" s="321"/>
      <c r="CR8" s="321"/>
      <c r="CS8" s="321"/>
      <c r="CT8" s="321"/>
      <c r="CU8" s="321"/>
    </row>
    <row r="9" spans="1:99" x14ac:dyDescent="0.25">
      <c r="D9" s="191"/>
      <c r="E9" s="175"/>
      <c r="F9" s="175"/>
      <c r="G9" s="175"/>
      <c r="H9" s="119"/>
      <c r="I9" s="237"/>
      <c r="J9" s="176"/>
      <c r="K9" s="176"/>
      <c r="L9" s="176"/>
      <c r="M9" s="120"/>
      <c r="N9" s="257"/>
      <c r="O9" s="246" t="s">
        <v>228</v>
      </c>
      <c r="P9" s="247"/>
      <c r="Q9" s="248"/>
      <c r="R9" s="191"/>
      <c r="S9" s="249" t="s">
        <v>228</v>
      </c>
      <c r="T9" s="250"/>
      <c r="U9" s="251"/>
      <c r="V9" s="191"/>
      <c r="W9" s="266" t="str">
        <f>IF(E9+G17&gt;50, "RE Cornea excessively Steep, Reduce Correction!!!", "")</f>
        <v/>
      </c>
      <c r="X9" s="267"/>
      <c r="Y9" s="267"/>
      <c r="Z9" s="267"/>
      <c r="AA9" s="267"/>
      <c r="AB9" s="268"/>
      <c r="AC9" s="191"/>
      <c r="AD9" s="124">
        <f>G18-F9</f>
        <v>0</v>
      </c>
      <c r="AG9" s="125" t="s">
        <v>23</v>
      </c>
      <c r="AH9" s="125" t="s">
        <v>24</v>
      </c>
      <c r="AJ9" s="125" t="s">
        <v>25</v>
      </c>
      <c r="AK9" s="125" t="s">
        <v>26</v>
      </c>
      <c r="AM9" s="289" t="s">
        <v>15</v>
      </c>
      <c r="AN9" s="289"/>
      <c r="AO9" s="289"/>
      <c r="AP9" s="285"/>
      <c r="AR9" s="287" t="s">
        <v>16</v>
      </c>
      <c r="AS9" s="287"/>
      <c r="AT9" s="287"/>
      <c r="AU9" s="288"/>
      <c r="AW9" s="285" t="s">
        <v>27</v>
      </c>
      <c r="AX9" s="286"/>
      <c r="AY9" s="286"/>
      <c r="BA9" s="287" t="s">
        <v>27</v>
      </c>
      <c r="BB9" s="287"/>
      <c r="BC9" s="288"/>
    </row>
    <row r="10" spans="1:99" x14ac:dyDescent="0.25">
      <c r="D10" s="191"/>
      <c r="E10" s="191"/>
      <c r="F10" s="191"/>
      <c r="G10" s="191"/>
      <c r="H10" s="191"/>
      <c r="I10" s="237"/>
      <c r="J10" s="191"/>
      <c r="K10" s="191"/>
      <c r="L10" s="191"/>
      <c r="M10" s="191"/>
      <c r="N10" s="256"/>
      <c r="O10" s="215"/>
      <c r="P10" s="215"/>
      <c r="Q10" s="215"/>
      <c r="R10" s="191"/>
      <c r="S10" s="215"/>
      <c r="T10" s="215"/>
      <c r="U10" s="215"/>
      <c r="V10" s="191"/>
      <c r="W10" s="301" t="str">
        <f>IF(J9+L17&gt;50, "LE Cornea excessively Steep, Reduce Correction!!!",  "")</f>
        <v/>
      </c>
      <c r="X10" s="302"/>
      <c r="Y10" s="302"/>
      <c r="Z10" s="302"/>
      <c r="AA10" s="302"/>
      <c r="AB10" s="303"/>
      <c r="AC10" s="191"/>
      <c r="AD10" s="124">
        <f>L18-K9</f>
        <v>0</v>
      </c>
      <c r="AG10" s="125">
        <f>AG7*0.025</f>
        <v>0</v>
      </c>
      <c r="AH10" s="125">
        <f>AH7*0.025</f>
        <v>0</v>
      </c>
      <c r="AJ10" s="125">
        <f>(G18-F9)/2</f>
        <v>0</v>
      </c>
      <c r="AK10" s="125">
        <f>(L18-K9)/2</f>
        <v>0</v>
      </c>
      <c r="AM10" s="110" t="s">
        <v>17</v>
      </c>
      <c r="AN10" s="110" t="s">
        <v>18</v>
      </c>
      <c r="AO10" s="110" t="s">
        <v>19</v>
      </c>
      <c r="AP10" s="115" t="s">
        <v>20</v>
      </c>
      <c r="AR10" s="126" t="s">
        <v>17</v>
      </c>
      <c r="AS10" s="127" t="s">
        <v>18</v>
      </c>
      <c r="AT10" s="127" t="s">
        <v>19</v>
      </c>
      <c r="AU10" s="127" t="s">
        <v>20</v>
      </c>
      <c r="AW10" s="207">
        <f>ROUND(G17,0)</f>
        <v>0</v>
      </c>
      <c r="AX10" s="208"/>
      <c r="AY10" s="208"/>
      <c r="BA10" s="283">
        <f>ROUND(L17,0)</f>
        <v>0</v>
      </c>
      <c r="BB10" s="283"/>
      <c r="BC10" s="284"/>
      <c r="CN10" s="318" t="s">
        <v>83</v>
      </c>
      <c r="CO10" s="318"/>
      <c r="CP10" s="318"/>
      <c r="CQ10" s="318"/>
      <c r="CR10" s="318" t="s">
        <v>84</v>
      </c>
      <c r="CS10" s="318"/>
      <c r="CT10" s="318"/>
      <c r="CU10" s="318"/>
    </row>
    <row r="11" spans="1:99" ht="13.95" customHeight="1" x14ac:dyDescent="0.25">
      <c r="D11" s="191"/>
      <c r="E11" s="243" t="s">
        <v>28</v>
      </c>
      <c r="F11" s="243"/>
      <c r="G11" s="243"/>
      <c r="H11" s="243"/>
      <c r="I11" s="237"/>
      <c r="J11" s="243" t="s">
        <v>29</v>
      </c>
      <c r="K11" s="243"/>
      <c r="L11" s="243"/>
      <c r="M11" s="243"/>
      <c r="N11" s="256"/>
      <c r="O11" s="209" t="s">
        <v>30</v>
      </c>
      <c r="P11" s="210"/>
      <c r="Q11" s="211"/>
      <c r="R11" s="191"/>
      <c r="S11" s="228" t="s">
        <v>31</v>
      </c>
      <c r="T11" s="229"/>
      <c r="U11" s="230"/>
      <c r="V11" s="191"/>
      <c r="W11" s="220"/>
      <c r="X11" s="220"/>
      <c r="Y11" s="220"/>
      <c r="Z11" s="220"/>
      <c r="AA11" s="220"/>
      <c r="AB11" s="220"/>
      <c r="AC11" s="191"/>
      <c r="AD11" s="124">
        <f>AD9*2/3</f>
        <v>0</v>
      </c>
      <c r="AE11" s="124">
        <f>F9+AD11</f>
        <v>0</v>
      </c>
      <c r="AM11" s="128">
        <f>ABS(E9)</f>
        <v>0</v>
      </c>
      <c r="AN11" s="128">
        <f>ABS(F9)</f>
        <v>0</v>
      </c>
      <c r="AO11" s="128"/>
      <c r="AP11" s="116"/>
      <c r="AR11" s="129">
        <f>ABS(J9)</f>
        <v>0</v>
      </c>
      <c r="AS11" s="130">
        <f>ABS(K9)</f>
        <v>0</v>
      </c>
      <c r="AT11" s="130"/>
      <c r="AU11" s="130"/>
      <c r="CN11" s="321" t="str">
        <f>IF(AND(BO17&lt;=40, AW7&gt;=11), "RING -1, STOP 8", "")</f>
        <v/>
      </c>
      <c r="CO11" s="321"/>
      <c r="CP11" s="321" t="str">
        <f>IF(AND(BO17=45, AW7&gt;12), "RING 1, STOP 8.5", "")</f>
        <v/>
      </c>
      <c r="CQ11" s="321"/>
      <c r="CR11" s="321" t="str">
        <f>IF(AND(BP17&lt;=40, BB7&gt;=11), "RING -1, STOP 8", "")</f>
        <v/>
      </c>
      <c r="CS11" s="321"/>
      <c r="CT11" s="321" t="str">
        <f>IF(AND(BP17=45, BB7&gt;12), "RING 1, STOP 8.5", "")</f>
        <v/>
      </c>
      <c r="CU11" s="321"/>
    </row>
    <row r="12" spans="1:99" x14ac:dyDescent="0.25">
      <c r="D12" s="191"/>
      <c r="E12" s="111"/>
      <c r="F12" s="243" t="s">
        <v>18</v>
      </c>
      <c r="G12" s="243"/>
      <c r="H12" s="93" t="s">
        <v>19</v>
      </c>
      <c r="I12" s="237"/>
      <c r="J12" s="111" t="s">
        <v>66</v>
      </c>
      <c r="K12" s="243" t="s">
        <v>18</v>
      </c>
      <c r="L12" s="243"/>
      <c r="M12" s="111" t="s">
        <v>19</v>
      </c>
      <c r="N12" s="258"/>
      <c r="O12" s="246" t="s">
        <v>331</v>
      </c>
      <c r="P12" s="247"/>
      <c r="Q12" s="248"/>
      <c r="R12" s="191"/>
      <c r="S12" s="249" t="s">
        <v>331</v>
      </c>
      <c r="T12" s="250"/>
      <c r="U12" s="251"/>
      <c r="V12" s="191"/>
      <c r="W12" s="221" t="s">
        <v>196</v>
      </c>
      <c r="X12" s="221"/>
      <c r="Y12" s="221"/>
      <c r="Z12" s="221"/>
      <c r="AA12" s="221"/>
      <c r="AB12" s="221"/>
      <c r="AC12" s="191"/>
      <c r="AD12" s="124">
        <f>AD10*2/3</f>
        <v>0</v>
      </c>
      <c r="AE12" s="124">
        <f>K9+AD12</f>
        <v>0</v>
      </c>
      <c r="AG12" s="125">
        <f>ROUND(AG10,2)</f>
        <v>0</v>
      </c>
      <c r="AH12" s="125">
        <f>ROUND(AH10,2)</f>
        <v>0</v>
      </c>
      <c r="AJ12" s="125" t="s">
        <v>71</v>
      </c>
      <c r="AK12" s="125" t="s">
        <v>72</v>
      </c>
      <c r="AW12" s="285" t="s">
        <v>32</v>
      </c>
      <c r="AX12" s="286"/>
      <c r="AY12" s="286"/>
      <c r="BA12" s="287" t="s">
        <v>33</v>
      </c>
      <c r="BB12" s="287"/>
      <c r="BC12" s="288"/>
      <c r="CN12" s="321" t="str">
        <f>IF(AND(OR(BO17=42, BO17=41), AW7&gt;12), "RING -1, STOP 8.5", "")</f>
        <v/>
      </c>
      <c r="CO12" s="321"/>
      <c r="CP12" s="321" t="str">
        <f>IF(AND(OR(BO17=44, BO17=43), AW7&lt;11), "RING 2, STOP 7.5", "")</f>
        <v/>
      </c>
      <c r="CQ12" s="321"/>
      <c r="CR12" s="321" t="str">
        <f>IF(AND(OR(BP17=42, BP17=41), BB7&gt;12), "RING -1, STOP 8.5", "")</f>
        <v/>
      </c>
      <c r="CS12" s="321"/>
      <c r="CT12" s="321" t="str">
        <f>IF(AND(OR(BP17=44, BP17=43), BB7&lt;11), "RING 2, STOP 7.5", "")</f>
        <v/>
      </c>
      <c r="CU12" s="321"/>
    </row>
    <row r="13" spans="1:99" ht="14.7" customHeight="1" x14ac:dyDescent="0.25">
      <c r="D13" s="191"/>
      <c r="E13" s="106">
        <f>ROUND(AF32,2)</f>
        <v>0</v>
      </c>
      <c r="F13" s="242"/>
      <c r="G13" s="242"/>
      <c r="H13" s="106"/>
      <c r="I13" s="237"/>
      <c r="J13" s="106"/>
      <c r="K13" s="242"/>
      <c r="L13" s="242"/>
      <c r="M13" s="106"/>
      <c r="N13" s="256"/>
      <c r="O13" s="215"/>
      <c r="P13" s="215"/>
      <c r="Q13" s="215"/>
      <c r="R13" s="191"/>
      <c r="S13" s="215"/>
      <c r="T13" s="215"/>
      <c r="U13" s="215"/>
      <c r="V13" s="191"/>
      <c r="W13" s="219" t="str">
        <f>IF(OR(B16&gt;=B8+1.25, B16+1.25&lt;=B8, B22&gt;10), "Contoura LASIK not recommended since large difference between Topo and Manifest Cylinder", "Contoura LASIK can be done")</f>
        <v>Contoura LASIK can be done</v>
      </c>
      <c r="X13" s="219"/>
      <c r="Y13" s="219"/>
      <c r="Z13" s="219" t="str">
        <f>IF(OR(C16&gt;=C8+1.25, C16+1.25&lt;=C8, C22&gt;10), "Contoura LASIK not recommended since large difference between Topo and Manifest Cylinder", "Contoura LASIK can be done")</f>
        <v>Contoura LASIK can be done</v>
      </c>
      <c r="AA13" s="219"/>
      <c r="AB13" s="219"/>
      <c r="AC13" s="191"/>
      <c r="AJ13" s="124">
        <f>(AE11-F9)/2</f>
        <v>0</v>
      </c>
      <c r="AK13" s="124">
        <f>(AE12-K9)/2</f>
        <v>0</v>
      </c>
      <c r="AM13" s="125">
        <f>AM11+AN11</f>
        <v>0</v>
      </c>
      <c r="AR13" s="125">
        <f>AR11+AS11</f>
        <v>0</v>
      </c>
      <c r="AW13" s="3" t="s">
        <v>34</v>
      </c>
      <c r="AX13" s="131" t="s">
        <v>35</v>
      </c>
      <c r="AY13" s="131" t="s">
        <v>36</v>
      </c>
      <c r="AZ13" s="125" t="s">
        <v>37</v>
      </c>
      <c r="BA13" s="132" t="s">
        <v>38</v>
      </c>
      <c r="BB13" s="132" t="s">
        <v>39</v>
      </c>
      <c r="BC13" s="133" t="s">
        <v>40</v>
      </c>
      <c r="BD13" s="125" t="s">
        <v>41</v>
      </c>
      <c r="CN13" s="321" t="str">
        <f>IF(OR(AND(BO17&lt;=40, AW7&lt;11), AND(OR(BO17=42, BO17=41), AND(AW7&lt;=12, AW7&gt;=11))), "RING 0, STOP 7.5", "")</f>
        <v>RING 0, STOP 7.5</v>
      </c>
      <c r="CO13" s="321"/>
      <c r="CP13" s="321" t="str">
        <f>IF(AND(BO17&gt;=46, AW7&gt;12), "RING 2, STOP 8", "")</f>
        <v/>
      </c>
      <c r="CQ13" s="321"/>
      <c r="CR13" s="321" t="str">
        <f>IF(OR(AND(BP17&lt;=40, BB7&lt;11), AND(OR(BP17=42, BP17=41), AND(BB7&lt;=12, BB7&gt;=11))), "RING 0, STOP 7.5", "")</f>
        <v>RING 0, STOP 7.5</v>
      </c>
      <c r="CS13" s="321"/>
      <c r="CT13" s="321" t="str">
        <f>IF(AND(BP17&gt;=46, BB7&gt;12), "RING 2, STOP 8", "")</f>
        <v/>
      </c>
      <c r="CU13" s="321"/>
    </row>
    <row r="14" spans="1:99" ht="14.7" customHeight="1" x14ac:dyDescent="0.25">
      <c r="D14" s="191"/>
      <c r="E14" s="2"/>
      <c r="F14" s="244"/>
      <c r="G14" s="244"/>
      <c r="H14" s="244"/>
      <c r="I14" s="237"/>
      <c r="J14" s="2"/>
      <c r="K14" s="244"/>
      <c r="L14" s="244"/>
      <c r="M14" s="244"/>
      <c r="N14" s="256"/>
      <c r="O14" s="212" t="s">
        <v>44</v>
      </c>
      <c r="P14" s="213"/>
      <c r="Q14" s="214"/>
      <c r="R14" s="191"/>
      <c r="S14" s="197" t="s">
        <v>45</v>
      </c>
      <c r="T14" s="198"/>
      <c r="U14" s="199"/>
      <c r="V14" s="191"/>
      <c r="W14" s="219" t="str">
        <f>IF(ABS(G18)&gt;ABS(F9), "USE ALCON PROTOCOL 2", "USE ALCON PROTOCOL 1")</f>
        <v>USE ALCON PROTOCOL 1</v>
      </c>
      <c r="X14" s="219"/>
      <c r="Y14" s="219"/>
      <c r="Z14" s="219" t="str">
        <f>IF(ABS(L18)&gt;ABS(K9), "USE ALCON PROTOCOL 2", "USE ALCON PROTOCOL 1")</f>
        <v>USE ALCON PROTOCOL 1</v>
      </c>
      <c r="AA14" s="219"/>
      <c r="AB14" s="219"/>
      <c r="AC14" s="191"/>
      <c r="AD14" s="124">
        <f>AD9/2</f>
        <v>0</v>
      </c>
      <c r="AE14" s="124">
        <f>F9+AD14</f>
        <v>0</v>
      </c>
      <c r="AJ14" s="124">
        <f>(AE14-F9)/2</f>
        <v>0</v>
      </c>
      <c r="AK14" s="124">
        <f>(AE16-K9)/2</f>
        <v>0</v>
      </c>
      <c r="BL14" s="125" t="s">
        <v>104</v>
      </c>
      <c r="BM14" s="125" t="s">
        <v>105</v>
      </c>
      <c r="BO14" s="125" t="s">
        <v>102</v>
      </c>
      <c r="BP14" s="125" t="s">
        <v>103</v>
      </c>
      <c r="BZ14" s="125" t="s">
        <v>135</v>
      </c>
      <c r="CE14" s="125" t="s">
        <v>136</v>
      </c>
      <c r="CJ14" s="125" t="s">
        <v>137</v>
      </c>
      <c r="CN14" s="321" t="str">
        <f>IF(AND(OR(BO17=44, BO17=43), AW7&gt;12), "RING 0, STOP 8.5", "")</f>
        <v/>
      </c>
      <c r="CO14" s="321"/>
      <c r="CP14" s="321" t="str">
        <f>IF(AND(BO17&gt;=47, AW7&lt;=12), "RING 3, STOP 8", "")</f>
        <v/>
      </c>
      <c r="CQ14" s="321"/>
      <c r="CR14" s="321" t="str">
        <f>IF(AND(OR(BP17=44, BP17=43), BB7&gt;12), "RING 0, STOP 8.5", "")</f>
        <v/>
      </c>
      <c r="CS14" s="321"/>
      <c r="CT14" s="321" t="str">
        <f>IF(AND(BP17&gt;=47, BB7&lt;=12), "RING 3, STOP 8", "")</f>
        <v/>
      </c>
      <c r="CU14" s="321"/>
    </row>
    <row r="15" spans="1:99" ht="14.4" customHeight="1" x14ac:dyDescent="0.25">
      <c r="D15" s="191"/>
      <c r="E15" s="236" t="s">
        <v>42</v>
      </c>
      <c r="F15" s="236"/>
      <c r="G15" s="236"/>
      <c r="H15" s="236"/>
      <c r="I15" s="237"/>
      <c r="J15" s="238" t="s">
        <v>43</v>
      </c>
      <c r="K15" s="238"/>
      <c r="L15" s="238"/>
      <c r="M15" s="238"/>
      <c r="N15" s="259"/>
      <c r="O15" s="231">
        <f>ROUND(AM16,0)</f>
        <v>0</v>
      </c>
      <c r="P15" s="232"/>
      <c r="Q15" s="233"/>
      <c r="R15" s="191"/>
      <c r="S15" s="216">
        <f>ROUND(AR16,0)</f>
        <v>0</v>
      </c>
      <c r="T15" s="217"/>
      <c r="U15" s="218"/>
      <c r="V15" s="191"/>
      <c r="W15" s="187" t="s">
        <v>325</v>
      </c>
      <c r="X15" s="187"/>
      <c r="Y15" s="187"/>
      <c r="Z15" s="187"/>
      <c r="AA15" s="187"/>
      <c r="AB15" s="187"/>
      <c r="AC15" s="191"/>
      <c r="AD15" s="124"/>
      <c r="AM15" s="298" t="s">
        <v>44</v>
      </c>
      <c r="AN15" s="298"/>
      <c r="AO15" s="299"/>
      <c r="AR15" s="290" t="s">
        <v>45</v>
      </c>
      <c r="AS15" s="291"/>
      <c r="AT15" s="291"/>
      <c r="BH15" s="125" t="s">
        <v>85</v>
      </c>
      <c r="BL15" s="125" t="str">
        <f>IF(AND(BM5&gt;45,BM5&lt;135), "V", "H")</f>
        <v>H</v>
      </c>
      <c r="BM15" s="125" t="str">
        <f>IF(AND(BR5&gt;45,BR5&lt;135), "V", "H")</f>
        <v>H</v>
      </c>
      <c r="BO15" s="125">
        <f>IF(BL15="H",BL5*1,BN5*1)</f>
        <v>0</v>
      </c>
      <c r="BP15" s="125">
        <f>IF(BM15="H",BQ5*1,BS5*1)</f>
        <v>0</v>
      </c>
      <c r="CN15" s="321" t="str">
        <f>IF(AND(OR(BO17=42, BO17=41), AW7&lt;11), "RING 1, STOP 7.5", "")</f>
        <v/>
      </c>
      <c r="CO15" s="321"/>
      <c r="CP15" s="321" t="str">
        <f>IF(OR(AND(BO17=45, AW7&lt;11), AND(BO17=46, AW7&lt;=12)), "RING 3, STOP 7.5", "")</f>
        <v/>
      </c>
      <c r="CQ15" s="321"/>
      <c r="CR15" s="321" t="str">
        <f>IF(AND(OR(BP17=42, BP17=41), BB7&lt;11), "RING 1, STOP 7.5", "")</f>
        <v/>
      </c>
      <c r="CS15" s="321"/>
      <c r="CT15" s="321" t="str">
        <f>IF(OR(AND(BP17=45, BB7&lt;11), AND(BP17=46, BB7&lt;=12)), "RING 3, STOP 7.5", "")</f>
        <v/>
      </c>
      <c r="CU15" s="321"/>
    </row>
    <row r="16" spans="1:99" ht="13.95" customHeight="1" x14ac:dyDescent="0.25">
      <c r="B16" s="125">
        <f>ABS(G18)</f>
        <v>0</v>
      </c>
      <c r="C16" s="125">
        <f>ABS(L18)</f>
        <v>0</v>
      </c>
      <c r="D16" s="191"/>
      <c r="E16" s="109" t="s">
        <v>67</v>
      </c>
      <c r="F16" s="109" t="s">
        <v>19</v>
      </c>
      <c r="G16" s="109" t="s">
        <v>68</v>
      </c>
      <c r="H16" s="109" t="s">
        <v>19</v>
      </c>
      <c r="I16" s="237"/>
      <c r="J16" s="110" t="s">
        <v>67</v>
      </c>
      <c r="K16" s="110" t="s">
        <v>19</v>
      </c>
      <c r="L16" s="110" t="s">
        <v>68</v>
      </c>
      <c r="M16" s="110" t="s">
        <v>19</v>
      </c>
      <c r="N16" s="259"/>
      <c r="O16" s="215"/>
      <c r="P16" s="215"/>
      <c r="Q16" s="215"/>
      <c r="R16" s="191"/>
      <c r="S16" s="215"/>
      <c r="T16" s="215"/>
      <c r="U16" s="215"/>
      <c r="V16" s="191"/>
      <c r="W16" s="188"/>
      <c r="X16" s="188"/>
      <c r="Y16" s="188"/>
      <c r="Z16" s="189"/>
      <c r="AA16" s="189"/>
      <c r="AB16" s="189"/>
      <c r="AC16" s="191"/>
      <c r="AD16" s="124">
        <f>AD10/2</f>
        <v>0</v>
      </c>
      <c r="AE16" s="124">
        <f>K9+AD16</f>
        <v>0</v>
      </c>
      <c r="AF16" s="134" t="s">
        <v>17</v>
      </c>
      <c r="AG16" s="134" t="s">
        <v>18</v>
      </c>
      <c r="AH16" s="135" t="s">
        <v>19</v>
      </c>
      <c r="AI16" s="136" t="s">
        <v>17</v>
      </c>
      <c r="AJ16" s="137" t="s">
        <v>18</v>
      </c>
      <c r="AK16" s="138" t="s">
        <v>19</v>
      </c>
      <c r="AL16" s="139"/>
      <c r="AM16" s="293">
        <f>AM13/3*O9*O9</f>
        <v>0</v>
      </c>
      <c r="AN16" s="294"/>
      <c r="AO16" s="294"/>
      <c r="AR16" s="295">
        <f>AR13/3*S9*S9</f>
        <v>0</v>
      </c>
      <c r="AS16" s="295"/>
      <c r="AT16" s="296"/>
      <c r="BT16" s="313"/>
      <c r="BU16" s="313"/>
      <c r="BV16" s="313"/>
      <c r="BW16" s="313"/>
      <c r="BY16" s="322" t="s">
        <v>83</v>
      </c>
      <c r="BZ16" s="322"/>
      <c r="CA16" s="322" t="s">
        <v>84</v>
      </c>
      <c r="CB16" s="322"/>
      <c r="CC16" s="140"/>
      <c r="CD16" s="323" t="s">
        <v>83</v>
      </c>
      <c r="CE16" s="324"/>
      <c r="CF16" s="323" t="s">
        <v>84</v>
      </c>
      <c r="CG16" s="324"/>
      <c r="CH16" s="140"/>
      <c r="CI16" s="319" t="s">
        <v>138</v>
      </c>
      <c r="CJ16" s="320"/>
      <c r="CK16" s="319" t="s">
        <v>139</v>
      </c>
      <c r="CL16" s="320"/>
      <c r="CN16" s="321" t="str">
        <f>IF(AND(OR(BO17=44, BO17=43), AND(AW7&lt;=12, AW7&gt;=11)), "RING 1, STOP 8", "")</f>
        <v/>
      </c>
      <c r="CO16" s="321"/>
      <c r="CP16" s="321" t="str">
        <f>IF(AND(BO17=45, AND(AW7&gt;=11, AW7&lt;=12)), "RING 2, STOP 7.5", "")</f>
        <v/>
      </c>
      <c r="CQ16" s="321"/>
      <c r="CR16" s="321" t="str">
        <f>IF(AND(OR(BP17=44, BP17=43), AND(BB7&lt;=12, BB7&gt;=11)), "RING 1, STOP 8", "")</f>
        <v/>
      </c>
      <c r="CS16" s="321"/>
      <c r="CT16" s="321" t="str">
        <f>IF(AND(BP17=45, AND(BB7&gt;=11, BB7&lt;=12)), "RING 2, STOP 7.5", "")</f>
        <v/>
      </c>
      <c r="CU16" s="321"/>
    </row>
    <row r="17" spans="2:99" ht="14.4" x14ac:dyDescent="0.3">
      <c r="B17" s="124">
        <f>180+G9-H18</f>
        <v>180</v>
      </c>
      <c r="C17" s="124">
        <f>180+L9-M18</f>
        <v>180</v>
      </c>
      <c r="D17" s="191"/>
      <c r="E17" s="119"/>
      <c r="F17" s="119"/>
      <c r="G17" s="119"/>
      <c r="H17" s="119"/>
      <c r="I17" s="237"/>
      <c r="J17" s="120"/>
      <c r="K17" s="120"/>
      <c r="L17" s="120"/>
      <c r="M17" s="120"/>
      <c r="N17" s="257"/>
      <c r="O17" s="212" t="s">
        <v>54</v>
      </c>
      <c r="P17" s="213"/>
      <c r="Q17" s="214"/>
      <c r="R17" s="191"/>
      <c r="S17" s="197" t="s">
        <v>55</v>
      </c>
      <c r="T17" s="198"/>
      <c r="U17" s="199"/>
      <c r="V17" s="191"/>
      <c r="W17" s="188"/>
      <c r="X17" s="188"/>
      <c r="Y17" s="188"/>
      <c r="Z17" s="189"/>
      <c r="AA17" s="189"/>
      <c r="AB17" s="189"/>
      <c r="AC17" s="191"/>
      <c r="AE17" s="141" t="s">
        <v>46</v>
      </c>
      <c r="AF17" s="128">
        <f>E9</f>
        <v>0</v>
      </c>
      <c r="AG17" s="128">
        <f>F9</f>
        <v>0</v>
      </c>
      <c r="AH17" s="3">
        <f>G9</f>
        <v>0</v>
      </c>
      <c r="AI17" s="129">
        <f>J9</f>
        <v>0</v>
      </c>
      <c r="AJ17" s="130">
        <f>K9</f>
        <v>0</v>
      </c>
      <c r="AK17" s="142">
        <f>L9</f>
        <v>0</v>
      </c>
      <c r="AL17" s="133"/>
      <c r="AZ17" s="125" t="s">
        <v>47</v>
      </c>
      <c r="BA17" s="124" t="s">
        <v>48</v>
      </c>
      <c r="BB17" s="125" t="s">
        <v>49</v>
      </c>
      <c r="BH17" s="125" t="s">
        <v>47</v>
      </c>
      <c r="BI17" s="125" t="s">
        <v>48</v>
      </c>
      <c r="BJ17" s="125" t="s">
        <v>49</v>
      </c>
      <c r="BO17" s="125">
        <f>ROUND(BO15,0)</f>
        <v>0</v>
      </c>
      <c r="BP17" s="125">
        <f>ROUND(BP15,0)</f>
        <v>0</v>
      </c>
      <c r="BT17" s="143"/>
      <c r="BU17" s="143"/>
      <c r="BV17" s="143"/>
      <c r="BW17" s="143"/>
      <c r="BY17" s="144"/>
      <c r="BZ17" s="144"/>
      <c r="CA17" s="144"/>
      <c r="CB17" s="144"/>
      <c r="CD17" t="s">
        <v>112</v>
      </c>
      <c r="CE17" t="s">
        <v>124</v>
      </c>
      <c r="CF17" t="s">
        <v>113</v>
      </c>
      <c r="CG17" t="s">
        <v>125</v>
      </c>
      <c r="CI17" s="311"/>
      <c r="CJ17" s="312"/>
      <c r="CK17" s="311"/>
      <c r="CL17" s="312"/>
    </row>
    <row r="18" spans="2:99" ht="14.4" x14ac:dyDescent="0.3">
      <c r="B18" s="124">
        <f>180-G9+H18</f>
        <v>180</v>
      </c>
      <c r="C18" s="124">
        <f>180-L9+M18</f>
        <v>180</v>
      </c>
      <c r="D18" s="191"/>
      <c r="E18" s="240" t="s">
        <v>156</v>
      </c>
      <c r="F18" s="240"/>
      <c r="G18" s="106">
        <f>Sheet2!D7</f>
        <v>0</v>
      </c>
      <c r="H18" s="106">
        <f>Sheet2!F7</f>
        <v>0</v>
      </c>
      <c r="I18" s="237"/>
      <c r="J18" s="240" t="s">
        <v>156</v>
      </c>
      <c r="K18" s="240"/>
      <c r="L18" s="106">
        <f>Sheet3!D7</f>
        <v>0</v>
      </c>
      <c r="M18" s="106">
        <f>Sheet3!F7</f>
        <v>0</v>
      </c>
      <c r="N18" s="256"/>
      <c r="O18" s="231">
        <f>H21-(O15+O12)</f>
        <v>-90</v>
      </c>
      <c r="P18" s="232"/>
      <c r="Q18" s="233"/>
      <c r="R18" s="191"/>
      <c r="S18" s="216">
        <f>M21-(S12+S15)</f>
        <v>-90</v>
      </c>
      <c r="T18" s="217"/>
      <c r="U18" s="218"/>
      <c r="V18" s="191"/>
      <c r="W18" s="188"/>
      <c r="X18" s="188"/>
      <c r="Y18" s="188"/>
      <c r="Z18" s="189"/>
      <c r="AA18" s="189"/>
      <c r="AB18" s="189"/>
      <c r="AC18" s="191"/>
      <c r="AE18" s="141" t="s">
        <v>225</v>
      </c>
      <c r="AF18" s="124">
        <f>E9-((H19-F19)*0.02)</f>
        <v>0</v>
      </c>
      <c r="AG18" s="125">
        <f>F9</f>
        <v>0</v>
      </c>
      <c r="AH18" s="125">
        <f>G9</f>
        <v>0</v>
      </c>
      <c r="AI18" s="124">
        <f>J9-((M19-K19)*0.02)</f>
        <v>0</v>
      </c>
      <c r="AJ18" s="125">
        <f>K9</f>
        <v>0</v>
      </c>
      <c r="AK18" s="125">
        <f>L9</f>
        <v>0</v>
      </c>
      <c r="AM18" s="298" t="s">
        <v>50</v>
      </c>
      <c r="AN18" s="298"/>
      <c r="AO18" s="299"/>
      <c r="AR18" s="290" t="s">
        <v>51</v>
      </c>
      <c r="AS18" s="291"/>
      <c r="AT18" s="291"/>
      <c r="AY18" s="125">
        <v>40</v>
      </c>
      <c r="AZ18" s="124">
        <v>-1</v>
      </c>
      <c r="BA18" s="124">
        <v>-1</v>
      </c>
      <c r="BB18" s="124">
        <v>-1</v>
      </c>
      <c r="BG18" s="125" t="s">
        <v>101</v>
      </c>
      <c r="BH18" s="124" t="s">
        <v>87</v>
      </c>
      <c r="BI18" s="124" t="s">
        <v>86</v>
      </c>
      <c r="BJ18" s="124" t="s">
        <v>86</v>
      </c>
      <c r="BT18" s="143"/>
      <c r="BU18" s="143"/>
      <c r="BV18" s="143"/>
      <c r="BW18" s="143"/>
      <c r="BY18" s="3" t="s">
        <v>140</v>
      </c>
      <c r="BZ18" s="6" t="s">
        <v>77</v>
      </c>
      <c r="CA18" s="7" t="s">
        <v>79</v>
      </c>
      <c r="CB18" s="314" t="s">
        <v>81</v>
      </c>
      <c r="CC18" s="315"/>
      <c r="CD18" t="s">
        <v>114</v>
      </c>
      <c r="CE18" t="s">
        <v>126</v>
      </c>
      <c r="CF18" t="s">
        <v>115</v>
      </c>
      <c r="CG18" t="s">
        <v>127</v>
      </c>
      <c r="CI18" s="311" t="s">
        <v>146</v>
      </c>
      <c r="CJ18" s="312"/>
      <c r="CK18" s="311" t="s">
        <v>147</v>
      </c>
      <c r="CL18" s="312"/>
      <c r="CN18" s="318" t="s">
        <v>138</v>
      </c>
      <c r="CO18" s="318"/>
      <c r="CP18" s="318"/>
      <c r="CQ18" s="318"/>
      <c r="CR18" s="318" t="s">
        <v>139</v>
      </c>
      <c r="CS18" s="318"/>
      <c r="CT18" s="318"/>
      <c r="CU18" s="318"/>
    </row>
    <row r="19" spans="2:99" ht="14.4" x14ac:dyDescent="0.3">
      <c r="B19" s="125">
        <f>IF(B17&lt;B18, B17, B18)</f>
        <v>180</v>
      </c>
      <c r="C19" s="125">
        <f>IF(C17&lt;C18, C17, C18)</f>
        <v>180</v>
      </c>
      <c r="D19" s="191"/>
      <c r="E19" s="103" t="s">
        <v>52</v>
      </c>
      <c r="F19" s="106">
        <f>Sheet2!F10</f>
        <v>0</v>
      </c>
      <c r="G19" s="103" t="s">
        <v>53</v>
      </c>
      <c r="H19" s="106">
        <f>Sheet2!C10</f>
        <v>0</v>
      </c>
      <c r="I19" s="237"/>
      <c r="J19" s="103" t="s">
        <v>52</v>
      </c>
      <c r="K19" s="106">
        <f>Sheet3!F10</f>
        <v>0</v>
      </c>
      <c r="L19" s="103" t="s">
        <v>53</v>
      </c>
      <c r="M19" s="106">
        <f>Sheet3!C10</f>
        <v>0</v>
      </c>
      <c r="N19" s="256"/>
      <c r="O19" s="215"/>
      <c r="P19" s="215"/>
      <c r="Q19" s="215"/>
      <c r="R19" s="191"/>
      <c r="S19" s="215"/>
      <c r="T19" s="215"/>
      <c r="U19" s="215"/>
      <c r="V19" s="191"/>
      <c r="W19" s="292"/>
      <c r="X19" s="292"/>
      <c r="Y19" s="292"/>
      <c r="Z19" s="292"/>
      <c r="AA19" s="292"/>
      <c r="AB19" s="2"/>
      <c r="AC19" s="191"/>
      <c r="AE19" s="141" t="s">
        <v>224</v>
      </c>
      <c r="AF19" s="125" t="e">
        <f>'OD TALUS'!L5</f>
        <v>#DIV/0!</v>
      </c>
      <c r="AG19" s="125" t="e">
        <f>'OD TALUS'!H12</f>
        <v>#DIV/0!</v>
      </c>
      <c r="AH19" s="125" t="e">
        <f>'OD TALUS'!I12</f>
        <v>#DIV/0!</v>
      </c>
      <c r="AI19" s="125" t="e">
        <f>'OS TALUS'!L5</f>
        <v>#DIV/0!</v>
      </c>
      <c r="AJ19" s="125" t="e">
        <f>'OS TALUS'!H12</f>
        <v>#DIV/0!</v>
      </c>
      <c r="AK19" s="125" t="e">
        <f>'OS TALUS'!I12</f>
        <v>#DIV/0!</v>
      </c>
      <c r="AM19" s="293" t="e">
        <f>(H21-O18)/H21*100</f>
        <v>#DIV/0!</v>
      </c>
      <c r="AN19" s="294"/>
      <c r="AO19" s="294"/>
      <c r="AR19" s="295" t="e">
        <f>(M21-S18)/M21*100</f>
        <v>#DIV/0!</v>
      </c>
      <c r="AS19" s="295"/>
      <c r="AT19" s="296"/>
      <c r="AY19" s="125">
        <v>41</v>
      </c>
      <c r="AZ19" s="124">
        <v>0</v>
      </c>
      <c r="BA19" s="124">
        <v>-1</v>
      </c>
      <c r="BB19" s="124">
        <v>-1</v>
      </c>
      <c r="BG19" s="300" t="s">
        <v>98</v>
      </c>
      <c r="BH19" s="281" t="s">
        <v>89</v>
      </c>
      <c r="BI19" s="281" t="s">
        <v>87</v>
      </c>
      <c r="BJ19" s="281" t="s">
        <v>88</v>
      </c>
      <c r="BT19" s="143"/>
      <c r="BU19" s="143"/>
      <c r="BV19" s="143"/>
      <c r="BW19" s="143"/>
      <c r="BY19" s="4" t="s">
        <v>141</v>
      </c>
      <c r="BZ19" s="6" t="s">
        <v>142</v>
      </c>
      <c r="CA19" s="7" t="s">
        <v>143</v>
      </c>
      <c r="CB19" s="314" t="s">
        <v>145</v>
      </c>
      <c r="CC19" s="315"/>
      <c r="CD19" t="s">
        <v>116</v>
      </c>
      <c r="CE19" t="s">
        <v>128</v>
      </c>
      <c r="CF19" t="s">
        <v>117</v>
      </c>
      <c r="CG19" t="s">
        <v>129</v>
      </c>
      <c r="CI19" s="311" t="s">
        <v>148</v>
      </c>
      <c r="CJ19" s="312"/>
      <c r="CK19" s="321" t="s">
        <v>153</v>
      </c>
      <c r="CL19" s="312"/>
      <c r="CN19" s="321"/>
      <c r="CO19" s="321"/>
      <c r="CP19" s="321"/>
      <c r="CQ19" s="321"/>
      <c r="CR19" s="321"/>
      <c r="CS19" s="321"/>
      <c r="CT19" s="321"/>
      <c r="CU19" s="321"/>
    </row>
    <row r="20" spans="2:99" ht="14.4" x14ac:dyDescent="0.3">
      <c r="B20" s="124">
        <f>G9-H18</f>
        <v>0</v>
      </c>
      <c r="C20" s="124">
        <f>L9-M18</f>
        <v>0</v>
      </c>
      <c r="D20" s="191"/>
      <c r="E20" s="239"/>
      <c r="F20" s="239"/>
      <c r="G20" s="239"/>
      <c r="H20" s="239"/>
      <c r="I20" s="237"/>
      <c r="J20" s="239"/>
      <c r="K20" s="239"/>
      <c r="L20" s="239"/>
      <c r="M20" s="239"/>
      <c r="N20" s="258"/>
      <c r="O20" s="212" t="s">
        <v>50</v>
      </c>
      <c r="P20" s="213"/>
      <c r="Q20" s="214"/>
      <c r="R20" s="191"/>
      <c r="S20" s="197" t="s">
        <v>51</v>
      </c>
      <c r="T20" s="198"/>
      <c r="U20" s="199"/>
      <c r="V20" s="191"/>
      <c r="W20" s="305" t="s">
        <v>324</v>
      </c>
      <c r="X20" s="306"/>
      <c r="Y20" s="306"/>
      <c r="Z20" s="306"/>
      <c r="AA20" s="306"/>
      <c r="AB20" s="2"/>
      <c r="AC20" s="191"/>
      <c r="AE20" s="141" t="s">
        <v>219</v>
      </c>
      <c r="AF20" s="125">
        <f>E9-(G18-F9)/2</f>
        <v>0</v>
      </c>
      <c r="AG20" s="125">
        <f>G18</f>
        <v>0</v>
      </c>
      <c r="AH20" s="125">
        <f>H18</f>
        <v>0</v>
      </c>
      <c r="AI20" s="125">
        <f>J9-(L18-K9)/2</f>
        <v>0</v>
      </c>
      <c r="AJ20" s="125">
        <f>L18</f>
        <v>0</v>
      </c>
      <c r="AK20" s="125">
        <f>M18</f>
        <v>0</v>
      </c>
      <c r="AY20" s="125">
        <v>42</v>
      </c>
      <c r="AZ20" s="124">
        <v>0</v>
      </c>
      <c r="BA20" s="124">
        <v>0</v>
      </c>
      <c r="BB20" s="124">
        <v>-1</v>
      </c>
      <c r="BG20" s="300"/>
      <c r="BH20" s="281"/>
      <c r="BI20" s="281"/>
      <c r="BJ20" s="281"/>
      <c r="BT20" s="143"/>
      <c r="BU20" s="143"/>
      <c r="BV20" s="143"/>
      <c r="BW20" s="143"/>
      <c r="BY20" s="5" t="s">
        <v>76</v>
      </c>
      <c r="BZ20" s="6" t="s">
        <v>78</v>
      </c>
      <c r="CA20" s="7" t="s">
        <v>144</v>
      </c>
      <c r="CB20" s="314" t="s">
        <v>82</v>
      </c>
      <c r="CC20" s="315"/>
      <c r="CD20" t="s">
        <v>118</v>
      </c>
      <c r="CE20" t="s">
        <v>130</v>
      </c>
      <c r="CF20" t="s">
        <v>119</v>
      </c>
      <c r="CG20" t="s">
        <v>131</v>
      </c>
      <c r="CI20" s="311" t="s">
        <v>149</v>
      </c>
      <c r="CJ20" s="312"/>
      <c r="CK20" s="311" t="s">
        <v>152</v>
      </c>
      <c r="CL20" s="312"/>
      <c r="CN20" s="311" t="str">
        <f>IF(AW7&gt;12.2, "9mm FLAP", "")</f>
        <v/>
      </c>
      <c r="CO20" s="312"/>
      <c r="CP20" s="321"/>
      <c r="CQ20" s="321"/>
      <c r="CR20" s="311" t="str">
        <f>IF(BB7&gt;12.2, "9mm FLAP", "")</f>
        <v/>
      </c>
      <c r="CS20" s="312"/>
      <c r="CT20" s="321"/>
      <c r="CU20" s="321"/>
    </row>
    <row r="21" spans="2:99" ht="14.4" x14ac:dyDescent="0.3">
      <c r="B21" s="125">
        <f>ABS(B20)</f>
        <v>0</v>
      </c>
      <c r="C21" s="125">
        <f>ABS(C20)</f>
        <v>0</v>
      </c>
      <c r="D21" s="191"/>
      <c r="E21" s="236" t="s">
        <v>56</v>
      </c>
      <c r="F21" s="236"/>
      <c r="G21" s="236"/>
      <c r="H21" s="119"/>
      <c r="I21" s="237"/>
      <c r="J21" s="238" t="s">
        <v>57</v>
      </c>
      <c r="K21" s="238"/>
      <c r="L21" s="238"/>
      <c r="M21" s="120"/>
      <c r="N21" s="257"/>
      <c r="O21" s="231" t="e">
        <f>ROUND(AM19,0)</f>
        <v>#DIV/0!</v>
      </c>
      <c r="P21" s="232"/>
      <c r="Q21" s="233"/>
      <c r="R21" s="191"/>
      <c r="S21" s="216" t="e">
        <f>ROUND(AR19,0)</f>
        <v>#DIV/0!</v>
      </c>
      <c r="T21" s="217"/>
      <c r="U21" s="218"/>
      <c r="V21" s="191"/>
      <c r="W21" s="1"/>
      <c r="X21" s="309" t="s">
        <v>58</v>
      </c>
      <c r="Y21" s="310"/>
      <c r="Z21" s="297" t="s">
        <v>59</v>
      </c>
      <c r="AA21" s="297"/>
      <c r="AB21" s="2"/>
      <c r="AC21" s="191"/>
      <c r="AE21" s="141" t="s">
        <v>220</v>
      </c>
      <c r="AF21" s="124">
        <f>E9-AJ14-AG12</f>
        <v>0</v>
      </c>
      <c r="AG21" s="124">
        <f>ROUND(AE14,2)</f>
        <v>0</v>
      </c>
      <c r="AH21" s="125">
        <f>H18</f>
        <v>0</v>
      </c>
      <c r="AI21" s="124">
        <f>J9-AK14-AH12</f>
        <v>0</v>
      </c>
      <c r="AJ21" s="124">
        <f>ROUND(AE16,2)</f>
        <v>0</v>
      </c>
      <c r="AK21" s="125">
        <f>M18</f>
        <v>0</v>
      </c>
      <c r="AY21" s="125">
        <v>43</v>
      </c>
      <c r="AZ21" s="124">
        <v>1</v>
      </c>
      <c r="BA21" s="124">
        <v>0</v>
      </c>
      <c r="BB21" s="124">
        <v>0</v>
      </c>
      <c r="BG21" s="300" t="s">
        <v>99</v>
      </c>
      <c r="BH21" s="281" t="s">
        <v>92</v>
      </c>
      <c r="BI21" s="281" t="s">
        <v>91</v>
      </c>
      <c r="BJ21" s="281" t="s">
        <v>90</v>
      </c>
      <c r="BT21" s="143"/>
      <c r="BU21" s="143"/>
      <c r="BV21" s="143"/>
      <c r="BW21" s="143"/>
      <c r="BY21" s="144"/>
      <c r="BZ21" s="144"/>
      <c r="CA21" s="144"/>
      <c r="CB21" s="144"/>
      <c r="CD21" t="s">
        <v>120</v>
      </c>
      <c r="CE21" t="s">
        <v>132</v>
      </c>
      <c r="CF21" t="s">
        <v>121</v>
      </c>
      <c r="CG21" t="s">
        <v>133</v>
      </c>
      <c r="CI21" s="311" t="s">
        <v>150</v>
      </c>
      <c r="CJ21" s="312"/>
      <c r="CK21" s="311" t="s">
        <v>151</v>
      </c>
      <c r="CL21" s="312"/>
      <c r="CN21" s="311" t="str">
        <f>IF(12&lt;=AW7&lt;=12.2, "8.9mm FLAP", "")</f>
        <v/>
      </c>
      <c r="CO21" s="312"/>
      <c r="CP21" s="321"/>
      <c r="CQ21" s="321"/>
      <c r="CR21" s="321" t="str">
        <f>IF(12&lt;=BB7&lt;=12.2, "8.9mm FLAP", "")</f>
        <v/>
      </c>
      <c r="CS21" s="312"/>
      <c r="CT21" s="321"/>
      <c r="CU21" s="321"/>
    </row>
    <row r="22" spans="2:99" ht="14.4" x14ac:dyDescent="0.3">
      <c r="B22" s="125">
        <f>IF(B21&lt;B19, B21, B19)</f>
        <v>0</v>
      </c>
      <c r="C22" s="125">
        <f>IF(C21&lt;C19, C21, C19)</f>
        <v>0</v>
      </c>
      <c r="D22" s="191"/>
      <c r="E22" s="191"/>
      <c r="F22" s="191"/>
      <c r="G22" s="191"/>
      <c r="H22" s="191"/>
      <c r="I22" s="237"/>
      <c r="J22" s="191"/>
      <c r="K22" s="191"/>
      <c r="L22" s="191"/>
      <c r="M22" s="191"/>
      <c r="N22" s="256"/>
      <c r="O22" s="2"/>
      <c r="P22" s="2"/>
      <c r="Q22" s="2"/>
      <c r="R22" s="222"/>
      <c r="S22" s="2"/>
      <c r="T22" s="2"/>
      <c r="U22" s="2"/>
      <c r="V22" s="222"/>
      <c r="W22" s="279" t="s">
        <v>66</v>
      </c>
      <c r="X22" s="282">
        <f>E9</f>
        <v>0</v>
      </c>
      <c r="Y22" s="282"/>
      <c r="Z22" s="275">
        <f>J9</f>
        <v>0</v>
      </c>
      <c r="AA22" s="275"/>
      <c r="AB22" s="2"/>
      <c r="AC22" s="191"/>
      <c r="AD22" s="140" t="s">
        <v>73</v>
      </c>
      <c r="AE22" s="141" t="s">
        <v>226</v>
      </c>
      <c r="AF22" s="124">
        <f>'OD TALUS'!H72</f>
        <v>0</v>
      </c>
      <c r="AG22" s="125">
        <f>'OD TALUS'!I72</f>
        <v>0</v>
      </c>
      <c r="AH22" s="125">
        <f>'OD TALUS'!J72</f>
        <v>0</v>
      </c>
      <c r="AI22" s="125">
        <f>'OS TALUS'!H72</f>
        <v>0</v>
      </c>
      <c r="AJ22" s="125">
        <f>'OS TALUS'!I72</f>
        <v>0</v>
      </c>
      <c r="AK22" s="125">
        <f>'OS TALUS'!J72</f>
        <v>0</v>
      </c>
      <c r="AM22" s="140" t="s">
        <v>73</v>
      </c>
      <c r="AP22" s="140" t="s">
        <v>74</v>
      </c>
      <c r="AY22" s="125">
        <v>44</v>
      </c>
      <c r="AZ22" s="124">
        <v>1</v>
      </c>
      <c r="BA22" s="124">
        <v>0</v>
      </c>
      <c r="BB22" s="124">
        <v>0</v>
      </c>
      <c r="BG22" s="300"/>
      <c r="BH22" s="281"/>
      <c r="BI22" s="281"/>
      <c r="BJ22" s="281"/>
      <c r="BT22" s="143"/>
      <c r="BU22" s="143"/>
      <c r="BV22" s="143"/>
      <c r="BW22" s="143"/>
      <c r="BY22" s="144"/>
      <c r="BZ22" s="144"/>
      <c r="CA22" s="144"/>
      <c r="CB22" s="144"/>
      <c r="CD22" t="s">
        <v>122</v>
      </c>
      <c r="CE22" s="145"/>
      <c r="CF22" t="s">
        <v>123</v>
      </c>
      <c r="CG22" s="146"/>
      <c r="CI22" s="311"/>
      <c r="CJ22" s="312"/>
      <c r="CK22" s="311"/>
      <c r="CL22" s="312"/>
      <c r="CN22" s="311" t="str">
        <f>IF(11.75&lt;=AW7&lt;=12, "8.8mm FLAP", "")</f>
        <v/>
      </c>
      <c r="CO22" s="312"/>
      <c r="CP22" s="321"/>
      <c r="CQ22" s="321"/>
      <c r="CR22" s="311" t="str">
        <f>IF(11.75&lt;=BB7&lt;=12, "8.8mm FLAP", "")</f>
        <v/>
      </c>
      <c r="CS22" s="312"/>
      <c r="CT22" s="321"/>
      <c r="CU22" s="321"/>
    </row>
    <row r="23" spans="2:99" x14ac:dyDescent="0.25">
      <c r="D23" s="191"/>
      <c r="E23" s="236" t="s">
        <v>60</v>
      </c>
      <c r="F23" s="236"/>
      <c r="G23" s="236"/>
      <c r="H23" s="236"/>
      <c r="I23" s="237"/>
      <c r="J23" s="238" t="s">
        <v>61</v>
      </c>
      <c r="K23" s="238"/>
      <c r="L23" s="238"/>
      <c r="M23" s="238"/>
      <c r="N23" s="257"/>
      <c r="O23" s="212" t="str">
        <f>CHOOSE(BY7,BY16,CD16,CI16)</f>
        <v>RE MICROKERATOME</v>
      </c>
      <c r="P23" s="213"/>
      <c r="Q23" s="213"/>
      <c r="R23" s="214"/>
      <c r="S23" s="197" t="str">
        <f>CHOOSE(BY7,CA16,CF16,CK16)</f>
        <v>LE MICROKERATOME</v>
      </c>
      <c r="T23" s="198"/>
      <c r="U23" s="198"/>
      <c r="V23" s="199"/>
      <c r="W23" s="280"/>
      <c r="X23" s="282"/>
      <c r="Y23" s="282"/>
      <c r="Z23" s="275"/>
      <c r="AA23" s="275"/>
      <c r="AB23" s="2"/>
      <c r="AC23" s="191"/>
      <c r="AD23" s="140" t="s">
        <v>73</v>
      </c>
      <c r="AE23" s="141" t="s">
        <v>227</v>
      </c>
      <c r="AF23" s="124" t="e">
        <f>'OD TALUS'!H71</f>
        <v>#DIV/0!</v>
      </c>
      <c r="AG23" s="125" t="e">
        <f>'OD TALUS'!I71</f>
        <v>#DIV/0!</v>
      </c>
      <c r="AH23" s="125" t="e">
        <f>'OD TALUS'!J71</f>
        <v>#DIV/0!</v>
      </c>
      <c r="AI23" s="124" t="e">
        <f>'OS TALUS'!H71</f>
        <v>#DIV/0!</v>
      </c>
      <c r="AJ23" s="125" t="e">
        <f>'OS TALUS'!I71</f>
        <v>#DIV/0!</v>
      </c>
      <c r="AK23" s="125" t="e">
        <f>'OS TALUS'!J71</f>
        <v>#DIV/0!</v>
      </c>
      <c r="AM23" s="140" t="s">
        <v>73</v>
      </c>
      <c r="AP23" s="140" t="s">
        <v>74</v>
      </c>
      <c r="AY23" s="125">
        <v>45</v>
      </c>
      <c r="AZ23" s="124">
        <v>1</v>
      </c>
      <c r="BA23" s="124">
        <v>1</v>
      </c>
      <c r="BB23" s="124">
        <v>0</v>
      </c>
      <c r="BG23" s="125">
        <v>45</v>
      </c>
      <c r="BH23" s="125" t="s">
        <v>93</v>
      </c>
      <c r="BI23" s="124" t="s">
        <v>92</v>
      </c>
      <c r="BJ23" s="124" t="s">
        <v>94</v>
      </c>
      <c r="CN23" s="311" t="str">
        <f>IF(AW7&lt;11.75, "8.7mm FLAP", "")</f>
        <v>8.7mm FLAP</v>
      </c>
      <c r="CO23" s="312"/>
      <c r="CP23" s="321"/>
      <c r="CQ23" s="321"/>
      <c r="CR23" s="311" t="str">
        <f>IF(BB7&lt;11.75, "8.7mm FLAP", "")</f>
        <v>8.7mm FLAP</v>
      </c>
      <c r="CS23" s="312"/>
      <c r="CT23" s="321"/>
      <c r="CU23" s="321"/>
    </row>
    <row r="24" spans="2:99" x14ac:dyDescent="0.25">
      <c r="D24" s="191"/>
      <c r="E24" s="241"/>
      <c r="F24" s="241"/>
      <c r="G24" s="241"/>
      <c r="H24" s="241"/>
      <c r="I24" s="237"/>
      <c r="J24" s="261"/>
      <c r="K24" s="261"/>
      <c r="L24" s="261"/>
      <c r="M24" s="261"/>
      <c r="N24" s="257"/>
      <c r="O24" s="278">
        <f>CHOOSE(BY7,CN3,CN11,CN19)</f>
        <v>0</v>
      </c>
      <c r="P24" s="264"/>
      <c r="Q24" s="264">
        <f>CHOOSE(BY7,CP3,CP11,CP19)</f>
        <v>0</v>
      </c>
      <c r="R24" s="264"/>
      <c r="S24" s="207">
        <f>CHOOSE(BY7,CR3,CR11,CR19)</f>
        <v>0</v>
      </c>
      <c r="T24" s="208"/>
      <c r="U24" s="208">
        <f>CHOOSE(BY7,CT3,CT11,CT19)</f>
        <v>0</v>
      </c>
      <c r="V24" s="263"/>
      <c r="W24" s="280" t="s">
        <v>18</v>
      </c>
      <c r="X24" s="282">
        <f>F9</f>
        <v>0</v>
      </c>
      <c r="Y24" s="282"/>
      <c r="Z24" s="275">
        <f>K9</f>
        <v>0</v>
      </c>
      <c r="AA24" s="275"/>
      <c r="AB24" s="2"/>
      <c r="AC24" s="191"/>
      <c r="AE24" s="141" t="s">
        <v>62</v>
      </c>
      <c r="AF24" s="125">
        <f>E9+1.5</f>
        <v>1.5</v>
      </c>
      <c r="AG24" s="125">
        <f>F9</f>
        <v>0</v>
      </c>
      <c r="AH24" s="125">
        <f>G9</f>
        <v>0</v>
      </c>
      <c r="AI24" s="125">
        <f>J9</f>
        <v>0</v>
      </c>
      <c r="AJ24" s="125">
        <f>K9</f>
        <v>0</v>
      </c>
      <c r="AK24" s="125">
        <f>L9</f>
        <v>0</v>
      </c>
      <c r="AY24" s="125">
        <v>46</v>
      </c>
      <c r="AZ24" s="124">
        <v>2</v>
      </c>
      <c r="BA24" s="124" t="s">
        <v>229</v>
      </c>
      <c r="BB24" s="124" t="s">
        <v>229</v>
      </c>
      <c r="BG24" s="125">
        <v>46</v>
      </c>
      <c r="BH24" s="124" t="s">
        <v>93</v>
      </c>
      <c r="BI24" s="124" t="s">
        <v>93</v>
      </c>
      <c r="BJ24" s="125" t="s">
        <v>95</v>
      </c>
      <c r="CN24" s="321"/>
      <c r="CO24" s="321"/>
      <c r="CP24" s="321"/>
      <c r="CQ24" s="321"/>
      <c r="CR24" s="321"/>
      <c r="CS24" s="321"/>
      <c r="CT24" s="321"/>
      <c r="CU24" s="321"/>
    </row>
    <row r="25" spans="2:99" x14ac:dyDescent="0.25">
      <c r="D25" s="191"/>
      <c r="E25" s="191"/>
      <c r="F25" s="191"/>
      <c r="G25" s="191"/>
      <c r="H25" s="191"/>
      <c r="I25" s="237"/>
      <c r="J25" s="191"/>
      <c r="K25" s="191"/>
      <c r="L25" s="191"/>
      <c r="M25" s="191"/>
      <c r="N25" s="256"/>
      <c r="O25" s="206" t="str">
        <f>CHOOSE(BY7,CN4,CN12,CN20)</f>
        <v/>
      </c>
      <c r="P25" s="204"/>
      <c r="Q25" s="204" t="str">
        <f>CHOOSE(BY7,CP4,CP12,CP20)</f>
        <v/>
      </c>
      <c r="R25" s="204"/>
      <c r="S25" s="245" t="str">
        <f>CHOOSE(BY7,CR4,CR12,CR20)</f>
        <v/>
      </c>
      <c r="T25" s="192"/>
      <c r="U25" s="192" t="str">
        <f>CHOOSE(BY7,CT4,CT12,CT20)</f>
        <v/>
      </c>
      <c r="V25" s="193"/>
      <c r="W25" s="280"/>
      <c r="X25" s="282"/>
      <c r="Y25" s="282"/>
      <c r="Z25" s="275"/>
      <c r="AA25" s="275"/>
      <c r="AB25" s="2"/>
      <c r="AC25" s="191"/>
      <c r="AE25" s="141" t="s">
        <v>63</v>
      </c>
      <c r="AF25" s="125">
        <f>E9+0.75</f>
        <v>0.75</v>
      </c>
      <c r="AG25" s="125">
        <f>F9</f>
        <v>0</v>
      </c>
      <c r="AH25" s="125">
        <f>G9</f>
        <v>0</v>
      </c>
      <c r="AI25" s="125">
        <f>J9</f>
        <v>0</v>
      </c>
      <c r="AJ25" s="125">
        <f>K9</f>
        <v>0</v>
      </c>
      <c r="AK25" s="125">
        <f>L9</f>
        <v>0</v>
      </c>
      <c r="AY25" s="125">
        <v>47</v>
      </c>
      <c r="AZ25" s="124">
        <v>2</v>
      </c>
      <c r="BA25" s="124">
        <v>2</v>
      </c>
      <c r="BB25" s="124" t="s">
        <v>229</v>
      </c>
      <c r="BG25" s="300" t="s">
        <v>100</v>
      </c>
      <c r="BH25" s="281" t="s">
        <v>97</v>
      </c>
      <c r="BI25" s="281" t="s">
        <v>97</v>
      </c>
      <c r="BJ25" s="281" t="s">
        <v>96</v>
      </c>
    </row>
    <row r="26" spans="2:99" x14ac:dyDescent="0.25">
      <c r="D26" s="191"/>
      <c r="E26" s="236" t="s">
        <v>13</v>
      </c>
      <c r="F26" s="236"/>
      <c r="G26" s="236"/>
      <c r="H26" s="236"/>
      <c r="I26" s="237"/>
      <c r="J26" s="238" t="s">
        <v>14</v>
      </c>
      <c r="K26" s="238"/>
      <c r="L26" s="238"/>
      <c r="M26" s="238"/>
      <c r="N26" s="256"/>
      <c r="O26" s="206" t="str">
        <f>CHOOSE(BY7,CN5,CN13,CN21)</f>
        <v/>
      </c>
      <c r="P26" s="204"/>
      <c r="Q26" s="204" t="str">
        <f>CHOOSE(BY7,CP5,CP13,CP21)</f>
        <v/>
      </c>
      <c r="R26" s="204"/>
      <c r="S26" s="245" t="str">
        <f>CHOOSE(BY7,CR5,CR13,CR21)</f>
        <v/>
      </c>
      <c r="T26" s="192"/>
      <c r="U26" s="192" t="str">
        <f>CHOOSE(BY7,CT5,CT13,CT21)</f>
        <v/>
      </c>
      <c r="V26" s="193"/>
      <c r="W26" s="304" t="s">
        <v>19</v>
      </c>
      <c r="X26" s="282">
        <f>G9</f>
        <v>0</v>
      </c>
      <c r="Y26" s="282"/>
      <c r="Z26" s="275">
        <f>L9</f>
        <v>0</v>
      </c>
      <c r="AA26" s="275"/>
      <c r="AB26" s="2"/>
      <c r="AC26" s="191"/>
      <c r="AE26" s="141" t="s">
        <v>64</v>
      </c>
      <c r="AF26" s="125">
        <f>E9</f>
        <v>0</v>
      </c>
      <c r="AG26" s="125">
        <f>F9</f>
        <v>0</v>
      </c>
      <c r="AH26" s="125">
        <f>G9</f>
        <v>0</v>
      </c>
      <c r="AI26" s="125">
        <f>J9+1.5</f>
        <v>1.5</v>
      </c>
      <c r="AJ26" s="125">
        <f>K9</f>
        <v>0</v>
      </c>
      <c r="AK26" s="125">
        <f>L9</f>
        <v>0</v>
      </c>
      <c r="AY26" s="125">
        <v>48</v>
      </c>
      <c r="AZ26" s="124">
        <v>2</v>
      </c>
      <c r="BA26" s="124">
        <v>2</v>
      </c>
      <c r="BB26" s="124">
        <v>2</v>
      </c>
      <c r="BG26" s="300"/>
      <c r="BH26" s="281"/>
      <c r="BI26" s="281"/>
      <c r="BJ26" s="281"/>
    </row>
    <row r="27" spans="2:99" x14ac:dyDescent="0.25">
      <c r="D27" s="191"/>
      <c r="E27" s="276"/>
      <c r="F27" s="276"/>
      <c r="G27" s="276"/>
      <c r="H27" s="276"/>
      <c r="I27" s="237"/>
      <c r="J27" s="277"/>
      <c r="K27" s="277"/>
      <c r="L27" s="277"/>
      <c r="M27" s="277"/>
      <c r="N27" s="259"/>
      <c r="O27" s="206" t="str">
        <f>CHOOSE(BY7,CN6,CN14,CN22)</f>
        <v>RING -1, STOP 7.5</v>
      </c>
      <c r="P27" s="204"/>
      <c r="Q27" s="204" t="str">
        <f>CHOOSE(BY7,CP6,CP14,CP22)</f>
        <v/>
      </c>
      <c r="R27" s="205"/>
      <c r="S27" s="192" t="str">
        <f>CHOOSE(BY7,CR6,CR14,CR22)</f>
        <v>RING -1, STOP 7.5</v>
      </c>
      <c r="T27" s="192"/>
      <c r="U27" s="192" t="str">
        <f>CHOOSE(BY7,CT6,CT14,CT22)</f>
        <v/>
      </c>
      <c r="V27" s="193"/>
      <c r="W27" s="304"/>
      <c r="X27" s="282"/>
      <c r="Y27" s="282"/>
      <c r="Z27" s="275"/>
      <c r="AA27" s="275"/>
      <c r="AB27" s="2"/>
      <c r="AC27" s="191"/>
      <c r="AE27" s="141" t="s">
        <v>65</v>
      </c>
      <c r="AF27" s="125">
        <f>E9</f>
        <v>0</v>
      </c>
      <c r="AG27" s="125">
        <f>F9</f>
        <v>0</v>
      </c>
      <c r="AH27" s="125">
        <f>G9</f>
        <v>0</v>
      </c>
      <c r="AI27" s="125">
        <f>J9+0.75</f>
        <v>0.75</v>
      </c>
      <c r="AJ27" s="125">
        <f>K9</f>
        <v>0</v>
      </c>
      <c r="AK27" s="125">
        <f>L9</f>
        <v>0</v>
      </c>
    </row>
    <row r="28" spans="2:99" ht="14.7" customHeight="1" x14ac:dyDescent="0.25">
      <c r="D28" s="191"/>
      <c r="E28" s="191"/>
      <c r="F28" s="191"/>
      <c r="G28" s="191"/>
      <c r="H28" s="191"/>
      <c r="I28" s="237"/>
      <c r="J28" s="191"/>
      <c r="K28" s="191"/>
      <c r="L28" s="191"/>
      <c r="M28" s="191"/>
      <c r="N28" s="256"/>
      <c r="O28" s="206">
        <f>CHOOSE(BY7,CN7,CN15,CN23)</f>
        <v>0</v>
      </c>
      <c r="P28" s="204"/>
      <c r="Q28" s="204">
        <f>CHOOSE(BY7,CP7,CP15,CP23)</f>
        <v>0</v>
      </c>
      <c r="R28" s="205"/>
      <c r="S28" s="192">
        <f>CHOOSE(BY7,CR7,CR15,CR23)</f>
        <v>0</v>
      </c>
      <c r="T28" s="192"/>
      <c r="U28" s="192">
        <f>CHOOSE(BY7,CT7,CT15,CT23)</f>
        <v>0</v>
      </c>
      <c r="V28" s="193"/>
      <c r="W28" s="308" t="s">
        <v>261</v>
      </c>
      <c r="X28" s="308"/>
      <c r="Y28" s="308"/>
      <c r="Z28" s="308"/>
      <c r="AA28" s="308"/>
      <c r="AB28" s="2"/>
      <c r="AC28" s="191"/>
    </row>
    <row r="29" spans="2:99" ht="18" x14ac:dyDescent="0.25">
      <c r="D29" s="191"/>
      <c r="E29" s="191"/>
      <c r="F29" s="191"/>
      <c r="G29" s="191"/>
      <c r="H29" s="191"/>
      <c r="I29" s="237"/>
      <c r="J29" s="191"/>
      <c r="K29" s="191"/>
      <c r="L29" s="191"/>
      <c r="M29" s="191"/>
      <c r="N29" s="256"/>
      <c r="O29" s="206">
        <f>CHOOSE(BY7,CN8,CN16,CN24)</f>
        <v>0</v>
      </c>
      <c r="P29" s="204"/>
      <c r="Q29" s="204">
        <f>CHOOSE(BY7,CP8,CP16,CP24)</f>
        <v>0</v>
      </c>
      <c r="R29" s="205"/>
      <c r="S29" s="192">
        <f>CHOOSE(BY7,CR8,CR16,CR24)</f>
        <v>0</v>
      </c>
      <c r="T29" s="192"/>
      <c r="U29" s="192">
        <f>CHOOSE(BY7,CT8,CT16,CT24)</f>
        <v>0</v>
      </c>
      <c r="V29" s="193"/>
      <c r="W29" s="173" t="s">
        <v>66</v>
      </c>
      <c r="X29" s="203" t="str">
        <f>CHOOSE('SPHERE NOMOGRAM'!Y4,'SPHERE NOMOGRAM'!AA6,'SPHERE NOMOGRAM'!AA7,'SPHERE NOMOGRAM'!AA8,'SPHERE NOMOGRAM'!AA9,'SPHERE NOMOGRAM'!AA10,'SPHERE NOMOGRAM'!AA11,'SPHERE NOMOGRAM'!AA12,'SPHERE NOMOGRAM'!AA13,'SPHERE NOMOGRAM'!AA14,'SPHERE NOMOGRAM'!AA15,'SPHERE NOMOGRAM'!AA16)</f>
        <v>NO CHANGE</v>
      </c>
      <c r="Y29" s="203"/>
      <c r="Z29" s="307" t="str">
        <f>CHOOSE('SPHERE NOMOGRAM'!Z4,'SPHERE NOMOGRAM'!AB6,'SPHERE NOMOGRAM'!AB7,'SPHERE NOMOGRAM'!AB8,'SPHERE NOMOGRAM'!AB9,'SPHERE NOMOGRAM'!AB10,'SPHERE NOMOGRAM'!AB11,'SPHERE NOMOGRAM'!AB12,'SPHERE NOMOGRAM'!AB13,'SPHERE NOMOGRAM'!AB14,'SPHERE NOMOGRAM'!AB15,'SPHERE NOMOGRAM'!AB16)</f>
        <v>NO CHANGE</v>
      </c>
      <c r="AA29" s="307"/>
      <c r="AB29" s="2"/>
      <c r="AC29" s="191"/>
    </row>
    <row r="30" spans="2:99" ht="14.7" customHeight="1" x14ac:dyDescent="0.25">
      <c r="D30" s="191"/>
      <c r="E30" s="191"/>
      <c r="F30" s="191"/>
      <c r="G30" s="191"/>
      <c r="H30" s="191"/>
      <c r="I30" s="237"/>
      <c r="J30" s="191"/>
      <c r="K30" s="191"/>
      <c r="L30" s="191"/>
      <c r="M30" s="191"/>
      <c r="N30" s="260"/>
      <c r="O30" s="206"/>
      <c r="P30" s="204"/>
      <c r="Q30" s="204"/>
      <c r="R30" s="205"/>
      <c r="S30" s="192"/>
      <c r="T30" s="192"/>
      <c r="U30" s="192"/>
      <c r="V30" s="262"/>
      <c r="W30" s="194" t="s">
        <v>18</v>
      </c>
      <c r="X30" s="112" t="str">
        <f>IF(X34&lt;2, "0", "")</f>
        <v>0</v>
      </c>
      <c r="Y30" s="15" t="str">
        <f>IF(AND(X34&gt;=2, X34&lt;3), "-0.25", "")</f>
        <v/>
      </c>
      <c r="Z30" s="104" t="str">
        <f>IF(Z34&lt;2, "0", "")</f>
        <v>0</v>
      </c>
      <c r="AA30" s="118" t="str">
        <f>IF(AND(Z34&gt;=2, Z34&lt;3), "-0.25", "")</f>
        <v/>
      </c>
      <c r="AB30" s="2"/>
      <c r="AC30" s="191"/>
    </row>
    <row r="31" spans="2:99" ht="14.25" customHeight="1" x14ac:dyDescent="0.25">
      <c r="D31" s="2"/>
      <c r="E31" s="191"/>
      <c r="F31" s="191"/>
      <c r="G31" s="191"/>
      <c r="H31" s="191"/>
      <c r="I31" s="2"/>
      <c r="J31" s="2"/>
      <c r="K31" s="2"/>
      <c r="L31" s="2"/>
      <c r="M31" s="2"/>
      <c r="N31" s="2"/>
      <c r="O31" s="200"/>
      <c r="P31" s="200"/>
      <c r="Q31" s="202"/>
      <c r="R31" s="202"/>
      <c r="S31" s="202"/>
      <c r="T31" s="202"/>
      <c r="U31" s="202"/>
      <c r="V31" s="30"/>
      <c r="W31" s="195"/>
      <c r="X31" s="112" t="str">
        <f>IF(AND(X34&gt;=3, X34&lt;4), "-0.50", "")</f>
        <v/>
      </c>
      <c r="Y31" s="113" t="str">
        <f>IF(AND(X34&gt;=4, X34&lt;5), "-0.75", "")</f>
        <v/>
      </c>
      <c r="Z31" s="104" t="str">
        <f>IF(AND(Z34&gt;=3, Z34&lt;4), "-0.50", "")</f>
        <v/>
      </c>
      <c r="AA31" s="105" t="str">
        <f>IF(AND(Z34&gt;=4, Z34&lt;5), "-0.75", "")</f>
        <v/>
      </c>
      <c r="AB31" s="190"/>
      <c r="AC31" s="191"/>
      <c r="AF31" s="125" t="s">
        <v>69</v>
      </c>
      <c r="AG31" s="125" t="s">
        <v>70</v>
      </c>
    </row>
    <row r="32" spans="2:99" ht="14.25" customHeight="1" thickBot="1" x14ac:dyDescent="0.3">
      <c r="D32" s="2"/>
      <c r="E32" s="191"/>
      <c r="F32" s="191"/>
      <c r="G32" s="191"/>
      <c r="H32" s="191"/>
      <c r="I32" s="2"/>
      <c r="J32" s="2"/>
      <c r="K32" s="2"/>
      <c r="L32" s="2"/>
      <c r="M32" s="2"/>
      <c r="N32" s="2"/>
      <c r="O32" s="201"/>
      <c r="P32" s="201"/>
      <c r="Q32" s="191"/>
      <c r="R32" s="191"/>
      <c r="S32" s="191"/>
      <c r="T32" s="191"/>
      <c r="U32" s="191"/>
      <c r="V32" s="30"/>
      <c r="W32" s="196"/>
      <c r="X32" s="9" t="str">
        <f>IF(AND(X34&gt;=5, X34&lt;5.5), "-1.00", "")</f>
        <v/>
      </c>
      <c r="Y32" s="10" t="str">
        <f>IF(X34&gt;=5.5, "-1.25", "")</f>
        <v/>
      </c>
      <c r="Z32" s="117" t="str">
        <f>IF(AND(Z34&gt;=5, Z34&lt;5.5), "-1.00", "")</f>
        <v/>
      </c>
      <c r="AA32" s="121" t="str">
        <f>IF(Z34&gt;=5.5, "-1.25", "")</f>
        <v/>
      </c>
      <c r="AB32" s="190"/>
      <c r="AC32" s="191"/>
      <c r="AF32" s="125">
        <f>CHOOSE(AE6,AF17,AF18,AF19,AF20,AF21,AF22,AF23,AF24,AF25,AF26,AF27)</f>
        <v>0</v>
      </c>
      <c r="AG32" s="125">
        <f>CHOOSE(AE6,AI17,AI18,AI19,AI20,AI21,AI22,AI23,AI24,AI25,AI26,AI27)</f>
        <v>0</v>
      </c>
    </row>
    <row r="33" spans="4:29" ht="14.25" customHeight="1" x14ac:dyDescent="0.25"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178" t="s">
        <v>322</v>
      </c>
      <c r="P33" s="179"/>
      <c r="Q33" s="180"/>
      <c r="R33" s="2"/>
      <c r="S33" s="178" t="s">
        <v>323</v>
      </c>
      <c r="T33" s="179"/>
      <c r="U33" s="180"/>
      <c r="V33" s="2"/>
      <c r="W33" s="94"/>
      <c r="X33" s="94"/>
      <c r="Y33" s="94"/>
      <c r="Z33" s="94"/>
      <c r="AA33" s="94"/>
      <c r="AB33" s="94"/>
      <c r="AC33" s="94"/>
    </row>
    <row r="34" spans="4:29" ht="14.25" customHeight="1" x14ac:dyDescent="0.25"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181"/>
      <c r="P34" s="182"/>
      <c r="Q34" s="183"/>
      <c r="R34" s="2"/>
      <c r="S34" s="181"/>
      <c r="T34" s="182"/>
      <c r="U34" s="183"/>
      <c r="V34" s="2"/>
      <c r="W34" s="94"/>
      <c r="X34" s="94">
        <f>ABS(X24)</f>
        <v>0</v>
      </c>
      <c r="Y34" s="94"/>
      <c r="Z34" s="94">
        <f>ABS(Z24)</f>
        <v>0</v>
      </c>
      <c r="AA34" s="94"/>
      <c r="AB34" s="94"/>
      <c r="AC34" s="94"/>
    </row>
    <row r="35" spans="4:29" ht="14.25" customHeight="1" x14ac:dyDescent="0.25"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181"/>
      <c r="P35" s="182"/>
      <c r="Q35" s="183"/>
      <c r="R35" s="2"/>
      <c r="S35" s="181"/>
      <c r="T35" s="182"/>
      <c r="U35" s="183"/>
      <c r="V35" s="2"/>
      <c r="W35" s="2"/>
      <c r="X35" s="2"/>
      <c r="Y35" s="2"/>
      <c r="Z35" s="2"/>
      <c r="AA35" s="2"/>
      <c r="AB35" s="2"/>
      <c r="AC35" s="2"/>
    </row>
    <row r="36" spans="4:29" ht="14.25" customHeight="1" x14ac:dyDescent="0.25"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181"/>
      <c r="P36" s="182"/>
      <c r="Q36" s="183"/>
      <c r="R36" s="2"/>
      <c r="S36" s="181"/>
      <c r="T36" s="182"/>
      <c r="U36" s="183"/>
      <c r="V36" s="2"/>
      <c r="W36" s="325" t="s">
        <v>262</v>
      </c>
      <c r="X36" s="325"/>
      <c r="Y36" s="325"/>
      <c r="Z36" s="325"/>
      <c r="AA36" s="325"/>
      <c r="AB36" s="94"/>
      <c r="AC36" s="2"/>
    </row>
    <row r="37" spans="4:29" ht="14.4" customHeight="1" thickBot="1" x14ac:dyDescent="0.3"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184"/>
      <c r="P37" s="185"/>
      <c r="Q37" s="186"/>
      <c r="R37" s="123"/>
      <c r="S37" s="184"/>
      <c r="T37" s="185"/>
      <c r="U37" s="186"/>
      <c r="V37" s="2"/>
      <c r="W37" s="187" t="s">
        <v>66</v>
      </c>
      <c r="X37" s="326" t="e">
        <f>'Sheet2 (3)'!N20</f>
        <v>#DIV/0!</v>
      </c>
      <c r="Y37" s="326"/>
      <c r="Z37" s="327" t="e">
        <f>'Sheet3 (3)'!N20</f>
        <v>#DIV/0!</v>
      </c>
      <c r="AA37" s="327"/>
      <c r="AB37" s="94"/>
      <c r="AC37" s="2"/>
    </row>
    <row r="38" spans="4:29" x14ac:dyDescent="0.25"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43"/>
      <c r="S38" s="243"/>
      <c r="T38" s="243"/>
      <c r="U38" s="243"/>
      <c r="V38" s="2"/>
      <c r="W38" s="187"/>
      <c r="X38" s="326"/>
      <c r="Y38" s="326"/>
      <c r="Z38" s="327"/>
      <c r="AA38" s="327"/>
      <c r="AB38" s="94"/>
      <c r="AC38" s="2"/>
    </row>
    <row r="39" spans="4:29" ht="14.4" customHeight="1" x14ac:dyDescent="0.25">
      <c r="D39" s="2"/>
      <c r="E39" s="2"/>
      <c r="F39" s="2"/>
      <c r="G39" s="2"/>
      <c r="H39" s="2"/>
      <c r="I39" s="2"/>
      <c r="J39" s="2"/>
      <c r="K39" s="2"/>
      <c r="L39" s="2"/>
      <c r="M39" s="2"/>
      <c r="N39" s="328"/>
      <c r="O39" s="328"/>
      <c r="P39" s="328"/>
      <c r="Q39" s="328"/>
      <c r="R39" s="242"/>
      <c r="S39" s="242"/>
      <c r="T39" s="242" t="str">
        <f>Z29</f>
        <v>NO CHANGE</v>
      </c>
      <c r="U39" s="242"/>
      <c r="V39" s="2"/>
      <c r="W39" s="187" t="s">
        <v>264</v>
      </c>
      <c r="X39" s="326" t="e">
        <f>'Sheet2 (3)'!P20</f>
        <v>#DIV/0!</v>
      </c>
      <c r="Y39" s="326"/>
      <c r="Z39" s="327" t="e">
        <f>'Sheet3 (3)'!P20</f>
        <v>#DIV/0!</v>
      </c>
      <c r="AA39" s="327"/>
      <c r="AB39" s="94"/>
      <c r="AC39" s="2"/>
    </row>
    <row r="40" spans="4:29" ht="14.4" customHeight="1" x14ac:dyDescent="0.25">
      <c r="D40" s="2"/>
      <c r="E40" s="2"/>
      <c r="F40" s="2"/>
      <c r="G40" s="2"/>
      <c r="H40" s="2"/>
      <c r="I40" s="2"/>
      <c r="J40" s="2"/>
      <c r="K40" s="2"/>
      <c r="L40" s="2"/>
      <c r="M40" s="2"/>
      <c r="N40" s="329"/>
      <c r="O40" s="329"/>
      <c r="P40" s="329"/>
      <c r="Q40" s="329"/>
      <c r="R40" s="329"/>
      <c r="S40" s="329"/>
      <c r="T40" s="329"/>
      <c r="U40" s="329"/>
      <c r="V40" s="2"/>
      <c r="W40" s="187"/>
      <c r="X40" s="326"/>
      <c r="Y40" s="326"/>
      <c r="Z40" s="327"/>
      <c r="AA40" s="327"/>
      <c r="AB40" s="94"/>
      <c r="AC40" s="2"/>
    </row>
    <row r="41" spans="4:29" x14ac:dyDescent="0.25"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191"/>
      <c r="P41" s="191"/>
      <c r="Q41" s="191"/>
      <c r="R41" s="191"/>
      <c r="S41" s="191"/>
      <c r="T41" s="191"/>
      <c r="U41" s="191"/>
      <c r="V41" s="2"/>
      <c r="W41" s="187" t="s">
        <v>19</v>
      </c>
      <c r="X41" s="326" t="e">
        <f>'Sheet2 (3)'!R20</f>
        <v>#DIV/0!</v>
      </c>
      <c r="Y41" s="326"/>
      <c r="Z41" s="327" t="e">
        <f>'Sheet3 (3)'!R20</f>
        <v>#DIV/0!</v>
      </c>
      <c r="AA41" s="327"/>
      <c r="AB41" s="94"/>
      <c r="AC41" s="2"/>
    </row>
    <row r="42" spans="4:29" x14ac:dyDescent="0.25"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94"/>
      <c r="S42" s="94"/>
      <c r="T42" s="94"/>
      <c r="U42" s="94"/>
      <c r="V42" s="2"/>
      <c r="W42" s="187"/>
      <c r="X42" s="326"/>
      <c r="Y42" s="326"/>
      <c r="Z42" s="327"/>
      <c r="AA42" s="327"/>
      <c r="AB42" s="94"/>
      <c r="AC42" s="2"/>
    </row>
    <row r="43" spans="4:29" x14ac:dyDescent="0.25"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94"/>
      <c r="X43" s="94"/>
      <c r="Y43" s="94"/>
      <c r="Z43" s="94"/>
      <c r="AA43" s="94"/>
      <c r="AB43" s="94"/>
      <c r="AC43" s="2"/>
    </row>
    <row r="47" spans="4:29" hidden="1" x14ac:dyDescent="0.25">
      <c r="O47" s="125" t="s">
        <v>320</v>
      </c>
      <c r="Y47" s="125" t="s">
        <v>110</v>
      </c>
      <c r="Z47" s="125" t="s">
        <v>111</v>
      </c>
    </row>
    <row r="48" spans="4:29" hidden="1" x14ac:dyDescent="0.25">
      <c r="O48" s="125" t="s">
        <v>321</v>
      </c>
      <c r="Y48" s="125" t="e">
        <f>'Sheet2 (3)'!N20</f>
        <v>#DIV/0!</v>
      </c>
      <c r="Z48" s="125" t="e">
        <f>'Sheet3 (3)'!N20</f>
        <v>#DIV/0!</v>
      </c>
    </row>
    <row r="49" spans="19:26" hidden="1" x14ac:dyDescent="0.25">
      <c r="W49" s="125">
        <f>IF(O41="TRANSFER REFRACTION FROM PLANNING SHEETS", 1, 2)</f>
        <v>2</v>
      </c>
      <c r="Y49" s="125" t="e">
        <f>'Sheet2 (3)'!P20</f>
        <v>#DIV/0!</v>
      </c>
      <c r="Z49" s="125" t="e">
        <f>'Sheet3 (3)'!P20</f>
        <v>#DIV/0!</v>
      </c>
    </row>
    <row r="50" spans="19:26" hidden="1" x14ac:dyDescent="0.25">
      <c r="S50" s="300" t="s">
        <v>263</v>
      </c>
      <c r="T50" s="300"/>
      <c r="U50" s="300"/>
      <c r="Y50" s="125" t="e">
        <f>'Sheet2 (3)'!R20</f>
        <v>#DIV/0!</v>
      </c>
      <c r="Z50" s="125" t="e">
        <f>'Sheet3 (3)'!R20</f>
        <v>#DIV/0!</v>
      </c>
    </row>
    <row r="51" spans="19:26" hidden="1" x14ac:dyDescent="0.25">
      <c r="S51" s="300"/>
      <c r="T51" s="300"/>
      <c r="U51" s="300"/>
    </row>
    <row r="52" spans="19:26" hidden="1" x14ac:dyDescent="0.25">
      <c r="S52" s="300"/>
      <c r="T52" s="300"/>
      <c r="U52" s="300"/>
    </row>
  </sheetData>
  <sheetProtection sheet="1" objects="1" scenarios="1" selectLockedCells="1"/>
  <mergeCells count="310">
    <mergeCell ref="N39:Q39"/>
    <mergeCell ref="S50:U50"/>
    <mergeCell ref="S51:U51"/>
    <mergeCell ref="S52:U52"/>
    <mergeCell ref="R38:S38"/>
    <mergeCell ref="T38:U38"/>
    <mergeCell ref="R39:S39"/>
    <mergeCell ref="T39:U39"/>
    <mergeCell ref="N40:U40"/>
    <mergeCell ref="O41:U41"/>
    <mergeCell ref="W36:AA36"/>
    <mergeCell ref="W37:W38"/>
    <mergeCell ref="W39:W40"/>
    <mergeCell ref="W41:W42"/>
    <mergeCell ref="X37:Y38"/>
    <mergeCell ref="X39:Y40"/>
    <mergeCell ref="Z37:AA38"/>
    <mergeCell ref="Z39:AA40"/>
    <mergeCell ref="X41:Y42"/>
    <mergeCell ref="Z41:AA42"/>
    <mergeCell ref="T1:U1"/>
    <mergeCell ref="T2:U2"/>
    <mergeCell ref="CN19:CO19"/>
    <mergeCell ref="CP19:CQ19"/>
    <mergeCell ref="CR19:CS19"/>
    <mergeCell ref="CT19:CU19"/>
    <mergeCell ref="CN14:CO14"/>
    <mergeCell ref="CP14:CQ14"/>
    <mergeCell ref="CR14:CS14"/>
    <mergeCell ref="CT14:CU14"/>
    <mergeCell ref="CN16:CO16"/>
    <mergeCell ref="CP16:CQ16"/>
    <mergeCell ref="CR16:CS16"/>
    <mergeCell ref="CN2:CQ2"/>
    <mergeCell ref="CP7:CQ7"/>
    <mergeCell ref="CP8:CQ8"/>
    <mergeCell ref="CN8:CO8"/>
    <mergeCell ref="CN7:CO7"/>
    <mergeCell ref="CN10:CQ10"/>
    <mergeCell ref="CR2:CU2"/>
    <mergeCell ref="CN3:CO3"/>
    <mergeCell ref="CP3:CQ3"/>
    <mergeCell ref="CR3:CS3"/>
    <mergeCell ref="CT3:CU3"/>
    <mergeCell ref="CN24:CO24"/>
    <mergeCell ref="CP24:CQ24"/>
    <mergeCell ref="CR24:CS24"/>
    <mergeCell ref="CT24:CU24"/>
    <mergeCell ref="CN21:CO21"/>
    <mergeCell ref="CP21:CQ21"/>
    <mergeCell ref="CR21:CS21"/>
    <mergeCell ref="CT21:CU21"/>
    <mergeCell ref="CN22:CO22"/>
    <mergeCell ref="CP22:CQ22"/>
    <mergeCell ref="CR22:CS22"/>
    <mergeCell ref="CT22:CU22"/>
    <mergeCell ref="CN23:CO23"/>
    <mergeCell ref="CP23:CQ23"/>
    <mergeCell ref="CR23:CS23"/>
    <mergeCell ref="CT23:CU23"/>
    <mergeCell ref="CR10:CU10"/>
    <mergeCell ref="CT7:CU7"/>
    <mergeCell ref="CT8:CU8"/>
    <mergeCell ref="CR8:CS8"/>
    <mergeCell ref="CR7:CS7"/>
    <mergeCell ref="CT11:CU11"/>
    <mergeCell ref="CR12:CS12"/>
    <mergeCell ref="CT12:CU12"/>
    <mergeCell ref="CN13:CO13"/>
    <mergeCell ref="CP13:CQ13"/>
    <mergeCell ref="CR13:CS13"/>
    <mergeCell ref="CT13:CU13"/>
    <mergeCell ref="CR20:CS20"/>
    <mergeCell ref="CT20:CU20"/>
    <mergeCell ref="CN20:CO20"/>
    <mergeCell ref="CP20:CQ20"/>
    <mergeCell ref="CR18:CU18"/>
    <mergeCell ref="CI22:CJ22"/>
    <mergeCell ref="CR4:CS4"/>
    <mergeCell ref="CP6:CQ6"/>
    <mergeCell ref="CR11:CS11"/>
    <mergeCell ref="CK18:CL18"/>
    <mergeCell ref="CK19:CL19"/>
    <mergeCell ref="CK20:CL20"/>
    <mergeCell ref="CK21:CL21"/>
    <mergeCell ref="CT4:CU4"/>
    <mergeCell ref="CT5:CU5"/>
    <mergeCell ref="CT6:CU6"/>
    <mergeCell ref="CR6:CS6"/>
    <mergeCell ref="CR5:CS5"/>
    <mergeCell ref="CP11:CQ11"/>
    <mergeCell ref="CK22:CL22"/>
    <mergeCell ref="CI16:CJ16"/>
    <mergeCell ref="CT16:CU16"/>
    <mergeCell ref="CR15:CS15"/>
    <mergeCell ref="CT15:CU15"/>
    <mergeCell ref="CN6:CO6"/>
    <mergeCell ref="CN5:CO5"/>
    <mergeCell ref="CN4:CO4"/>
    <mergeCell ref="CN18:CQ18"/>
    <mergeCell ref="CK16:CL16"/>
    <mergeCell ref="CK17:CL17"/>
    <mergeCell ref="BV16:BW16"/>
    <mergeCell ref="CP4:CQ4"/>
    <mergeCell ref="CP5:CQ5"/>
    <mergeCell ref="CN12:CO12"/>
    <mergeCell ref="CP12:CQ12"/>
    <mergeCell ref="CN15:CO15"/>
    <mergeCell ref="CP15:CQ15"/>
    <mergeCell ref="CN11:CO11"/>
    <mergeCell ref="BY16:BZ16"/>
    <mergeCell ref="CD16:CE16"/>
    <mergeCell ref="CB18:CC18"/>
    <mergeCell ref="CF16:CG16"/>
    <mergeCell ref="CA16:CB16"/>
    <mergeCell ref="CI17:CJ17"/>
    <mergeCell ref="CI18:CJ18"/>
    <mergeCell ref="CI19:CJ19"/>
    <mergeCell ref="CI20:CJ20"/>
    <mergeCell ref="CI21:CJ21"/>
    <mergeCell ref="AW7:AZ7"/>
    <mergeCell ref="BJ19:BJ20"/>
    <mergeCell ref="BJ21:BJ22"/>
    <mergeCell ref="BH19:BH20"/>
    <mergeCell ref="BI19:BI20"/>
    <mergeCell ref="BH21:BH22"/>
    <mergeCell ref="BI21:BI22"/>
    <mergeCell ref="BT16:BU16"/>
    <mergeCell ref="CB19:CC19"/>
    <mergeCell ref="CB20:CC20"/>
    <mergeCell ref="BG19:BG20"/>
    <mergeCell ref="BG21:BG22"/>
    <mergeCell ref="BB6:BE6"/>
    <mergeCell ref="BB7:BE7"/>
    <mergeCell ref="AM5:AU7"/>
    <mergeCell ref="AW12:AY12"/>
    <mergeCell ref="AW10:AY10"/>
    <mergeCell ref="BG25:BG26"/>
    <mergeCell ref="AM16:AO16"/>
    <mergeCell ref="AR16:AT16"/>
    <mergeCell ref="Z22:AA23"/>
    <mergeCell ref="AR15:AT15"/>
    <mergeCell ref="W10:AB10"/>
    <mergeCell ref="AW6:AZ6"/>
    <mergeCell ref="AM15:AO15"/>
    <mergeCell ref="AC1:AC30"/>
    <mergeCell ref="X22:Y23"/>
    <mergeCell ref="W26:W27"/>
    <mergeCell ref="W20:AA20"/>
    <mergeCell ref="W9:AB9"/>
    <mergeCell ref="Z29:AA29"/>
    <mergeCell ref="W28:AA28"/>
    <mergeCell ref="X21:Y21"/>
    <mergeCell ref="BJ25:BJ26"/>
    <mergeCell ref="X26:Y27"/>
    <mergeCell ref="W24:W25"/>
    <mergeCell ref="X24:Y25"/>
    <mergeCell ref="Z24:AA25"/>
    <mergeCell ref="BA10:BC10"/>
    <mergeCell ref="AW9:AY9"/>
    <mergeCell ref="BA9:BC9"/>
    <mergeCell ref="BA12:BC12"/>
    <mergeCell ref="AM9:AP9"/>
    <mergeCell ref="AR9:AU9"/>
    <mergeCell ref="AR18:AT18"/>
    <mergeCell ref="W19:AA19"/>
    <mergeCell ref="AM19:AO19"/>
    <mergeCell ref="AR19:AT19"/>
    <mergeCell ref="BH25:BH26"/>
    <mergeCell ref="BI25:BI26"/>
    <mergeCell ref="Z21:AA21"/>
    <mergeCell ref="AM18:AO18"/>
    <mergeCell ref="D1:D30"/>
    <mergeCell ref="W2:AB2"/>
    <mergeCell ref="W5:AB5"/>
    <mergeCell ref="W3:AB3"/>
    <mergeCell ref="W4:AB4"/>
    <mergeCell ref="W6:AB6"/>
    <mergeCell ref="W7:AB7"/>
    <mergeCell ref="W8:AB8"/>
    <mergeCell ref="Z26:AA27"/>
    <mergeCell ref="E27:H27"/>
    <mergeCell ref="J27:M27"/>
    <mergeCell ref="E28:H28"/>
    <mergeCell ref="J28:M28"/>
    <mergeCell ref="J29:M30"/>
    <mergeCell ref="O30:P30"/>
    <mergeCell ref="J23:M23"/>
    <mergeCell ref="Q30:R30"/>
    <mergeCell ref="O23:R23"/>
    <mergeCell ref="O24:P24"/>
    <mergeCell ref="W22:W23"/>
    <mergeCell ref="O14:Q14"/>
    <mergeCell ref="S14:U14"/>
    <mergeCell ref="Q27:R27"/>
    <mergeCell ref="S10:U10"/>
    <mergeCell ref="E2:H2"/>
    <mergeCell ref="I2:M2"/>
    <mergeCell ref="E11:H11"/>
    <mergeCell ref="S15:U15"/>
    <mergeCell ref="S7:U7"/>
    <mergeCell ref="Q4:U4"/>
    <mergeCell ref="K14:M14"/>
    <mergeCell ref="N2:N30"/>
    <mergeCell ref="J11:M11"/>
    <mergeCell ref="E10:H10"/>
    <mergeCell ref="J10:M10"/>
    <mergeCell ref="J26:M26"/>
    <mergeCell ref="J24:M24"/>
    <mergeCell ref="E15:H15"/>
    <mergeCell ref="E26:H26"/>
    <mergeCell ref="O29:P29"/>
    <mergeCell ref="Q29:R29"/>
    <mergeCell ref="O27:P27"/>
    <mergeCell ref="U30:V30"/>
    <mergeCell ref="O28:P28"/>
    <mergeCell ref="U24:V24"/>
    <mergeCell ref="Q24:R24"/>
    <mergeCell ref="O26:P26"/>
    <mergeCell ref="S17:U17"/>
    <mergeCell ref="S25:T25"/>
    <mergeCell ref="S26:T26"/>
    <mergeCell ref="O7:Q7"/>
    <mergeCell ref="O13:Q13"/>
    <mergeCell ref="O10:Q10"/>
    <mergeCell ref="O19:Q19"/>
    <mergeCell ref="Q25:R25"/>
    <mergeCell ref="E21:G21"/>
    <mergeCell ref="J21:L21"/>
    <mergeCell ref="O12:Q12"/>
    <mergeCell ref="S12:U12"/>
    <mergeCell ref="O20:Q20"/>
    <mergeCell ref="S20:U20"/>
    <mergeCell ref="S9:U9"/>
    <mergeCell ref="S11:U11"/>
    <mergeCell ref="O9:Q9"/>
    <mergeCell ref="O16:Q16"/>
    <mergeCell ref="S16:U16"/>
    <mergeCell ref="O21:Q21"/>
    <mergeCell ref="S21:U21"/>
    <mergeCell ref="O18:Q18"/>
    <mergeCell ref="R7:R22"/>
    <mergeCell ref="K13:L13"/>
    <mergeCell ref="E22:H22"/>
    <mergeCell ref="E4:H4"/>
    <mergeCell ref="I4:M4"/>
    <mergeCell ref="J22:M22"/>
    <mergeCell ref="E5:M6"/>
    <mergeCell ref="E3:M3"/>
    <mergeCell ref="E7:H7"/>
    <mergeCell ref="I7:I30"/>
    <mergeCell ref="J7:M7"/>
    <mergeCell ref="E20:H20"/>
    <mergeCell ref="J20:M20"/>
    <mergeCell ref="E18:F18"/>
    <mergeCell ref="J18:K18"/>
    <mergeCell ref="E24:H24"/>
    <mergeCell ref="E23:H23"/>
    <mergeCell ref="E25:H25"/>
    <mergeCell ref="J25:M25"/>
    <mergeCell ref="F13:G13"/>
    <mergeCell ref="E29:H32"/>
    <mergeCell ref="F12:G12"/>
    <mergeCell ref="K12:L12"/>
    <mergeCell ref="J15:M15"/>
    <mergeCell ref="F14:H14"/>
    <mergeCell ref="O11:Q11"/>
    <mergeCell ref="O17:Q17"/>
    <mergeCell ref="S19:U19"/>
    <mergeCell ref="S18:U18"/>
    <mergeCell ref="W14:Y14"/>
    <mergeCell ref="Z14:AB14"/>
    <mergeCell ref="W13:Y13"/>
    <mergeCell ref="Z13:AB13"/>
    <mergeCell ref="W11:AB11"/>
    <mergeCell ref="W12:AB12"/>
    <mergeCell ref="V2:V22"/>
    <mergeCell ref="S13:U13"/>
    <mergeCell ref="T6:U6"/>
    <mergeCell ref="T5:U5"/>
    <mergeCell ref="O2:Q2"/>
    <mergeCell ref="O4:P4"/>
    <mergeCell ref="O3:U3"/>
    <mergeCell ref="O8:Q8"/>
    <mergeCell ref="S8:U8"/>
    <mergeCell ref="O15:Q15"/>
    <mergeCell ref="O33:Q37"/>
    <mergeCell ref="S33:U37"/>
    <mergeCell ref="W15:AB15"/>
    <mergeCell ref="W16:Y18"/>
    <mergeCell ref="Z16:AB18"/>
    <mergeCell ref="AB31:AC32"/>
    <mergeCell ref="S28:T28"/>
    <mergeCell ref="U28:V28"/>
    <mergeCell ref="U27:V27"/>
    <mergeCell ref="S30:T30"/>
    <mergeCell ref="S29:T29"/>
    <mergeCell ref="U29:V29"/>
    <mergeCell ref="W30:W32"/>
    <mergeCell ref="S23:V23"/>
    <mergeCell ref="O31:P32"/>
    <mergeCell ref="Q31:U32"/>
    <mergeCell ref="X29:Y29"/>
    <mergeCell ref="Q28:R28"/>
    <mergeCell ref="U26:V26"/>
    <mergeCell ref="Q26:R26"/>
    <mergeCell ref="O25:P25"/>
    <mergeCell ref="S27:T27"/>
    <mergeCell ref="U25:V25"/>
    <mergeCell ref="S24:T24"/>
  </mergeCells>
  <conditionalFormatting sqref="O18:Q18">
    <cfRule type="cellIs" dxfId="5" priority="6" operator="between">
      <formula>0</formula>
      <formula>299</formula>
    </cfRule>
    <cfRule type="cellIs" dxfId="4" priority="8" operator="between">
      <formula>0</formula>
      <formula>299</formula>
    </cfRule>
    <cfRule type="cellIs" dxfId="3" priority="9" operator="between">
      <formula>0</formula>
      <formula>299</formula>
    </cfRule>
    <cfRule type="cellIs" priority="10" operator="between">
      <formula>0</formula>
      <formula>299</formula>
    </cfRule>
  </conditionalFormatting>
  <conditionalFormatting sqref="S18:U18">
    <cfRule type="cellIs" dxfId="2" priority="7" operator="between">
      <formula>0</formula>
      <formula>299</formula>
    </cfRule>
  </conditionalFormatting>
  <conditionalFormatting sqref="O21:Q21">
    <cfRule type="cellIs" dxfId="1" priority="4" operator="greaterThan">
      <formula>40</formula>
    </cfRule>
    <cfRule type="cellIs" priority="5" operator="between">
      <formula>41</formula>
      <formula>1000</formula>
    </cfRule>
  </conditionalFormatting>
  <conditionalFormatting sqref="S21:U21">
    <cfRule type="cellIs" dxfId="0" priority="3" operator="greaterThan">
      <formula>40</formula>
    </cfRule>
  </conditionalFormatting>
  <conditionalFormatting sqref="G17:H17">
    <cfRule type="expression" priority="2">
      <formula>$G$17&gt;$E$17</formula>
    </cfRule>
  </conditionalFormatting>
  <dataValidations count="1">
    <dataValidation type="list" allowBlank="1" showInputMessage="1" showErrorMessage="1" sqref="O41:U41" xr:uid="{C0775869-EAB7-47A7-A032-F33096ED4B75}">
      <formula1>$O$47:$O$48</formula1>
    </dataValidation>
  </dataValidations>
  <hyperlinks>
    <hyperlink ref="O33:Q37" location="Sheet2!D7" display="RIGHT EYE CONTOURA PLANNING CLICK HERE" xr:uid="{37CCDA79-722E-48F6-87BA-1B1BA33E7FFA}"/>
    <hyperlink ref="S33:U37" location="Sheet3!D7" display="LEFT EYE CONTOURA PLANNING CLICK HERE" xr:uid="{D76D415E-F006-48BC-BED6-4FF29EE436B6}"/>
    <hyperlink ref="W29" location="'SPHERE NOMOGRAM'!S11" display="SPH" xr:uid="{0ADC6CF4-3128-4EFE-9E56-9CE1ABC63906}"/>
  </hyperlinks>
  <printOptions horizontalCentered="1"/>
  <pageMargins left="0.25" right="0.25" top="0.75" bottom="1.43" header="0.3" footer="0.3"/>
  <pageSetup paperSize="9" scale="65" orientation="landscape" verticalDpi="0" r:id="rId1"/>
  <headerFooter>
    <oddHeader>&amp;CiSMART Contoura LASIKby Dr Zain Khatib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>
                  <from>
                    <xdr:col>13</xdr:col>
                    <xdr:colOff>281940</xdr:colOff>
                    <xdr:row>21</xdr:row>
                    <xdr:rowOff>22860</xdr:rowOff>
                  </from>
                  <to>
                    <xdr:col>21</xdr:col>
                    <xdr:colOff>381000</xdr:colOff>
                    <xdr:row>22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32"/>
  <sheetViews>
    <sheetView showRowColHeaders="0" topLeftCell="M1" zoomScale="140" zoomScaleNormal="140" zoomScaleSheetLayoutView="120" workbookViewId="0">
      <selection activeCell="X18" sqref="X18:Y20"/>
    </sheetView>
  </sheetViews>
  <sheetFormatPr defaultColWidth="0" defaultRowHeight="14.4" zeroHeight="1" x14ac:dyDescent="0.3"/>
  <cols>
    <col min="1" max="1" width="4.77734375" hidden="1" customWidth="1"/>
    <col min="2" max="12" width="0" hidden="1" customWidth="1"/>
    <col min="13" max="28" width="8.77734375" customWidth="1"/>
  </cols>
  <sheetData>
    <row r="1" spans="2:29" x14ac:dyDescent="0.3">
      <c r="B1" s="167"/>
      <c r="C1" s="167"/>
      <c r="D1" s="167"/>
      <c r="E1" s="167"/>
      <c r="F1" s="167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</row>
    <row r="2" spans="2:29" x14ac:dyDescent="0.3">
      <c r="D2" s="493" t="s">
        <v>272</v>
      </c>
      <c r="E2" s="493"/>
      <c r="F2" s="493"/>
      <c r="G2" s="493"/>
      <c r="H2" s="493"/>
      <c r="M2" s="22"/>
      <c r="N2" s="476" t="s">
        <v>311</v>
      </c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22"/>
    </row>
    <row r="3" spans="2:29" x14ac:dyDescent="0.3">
      <c r="D3" s="493"/>
      <c r="E3" s="493"/>
      <c r="F3" s="493"/>
      <c r="G3" s="493"/>
      <c r="H3" s="493"/>
      <c r="M3" s="22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22"/>
    </row>
    <row r="4" spans="2:29" x14ac:dyDescent="0.3">
      <c r="D4" s="149"/>
      <c r="E4" s="149"/>
      <c r="F4" s="149"/>
      <c r="G4" s="149"/>
      <c r="H4" s="149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</row>
    <row r="5" spans="2:29" x14ac:dyDescent="0.3">
      <c r="D5" s="340"/>
      <c r="E5" s="340"/>
      <c r="F5" s="340"/>
      <c r="G5" s="340"/>
      <c r="H5" s="340"/>
      <c r="I5" s="340"/>
      <c r="J5" s="340"/>
      <c r="M5" s="22"/>
      <c r="N5" s="492" t="s">
        <v>301</v>
      </c>
      <c r="O5" s="492"/>
      <c r="P5" s="492"/>
      <c r="Q5" s="492"/>
      <c r="R5" s="492"/>
      <c r="S5" s="492"/>
      <c r="T5" s="22"/>
      <c r="U5" s="22"/>
      <c r="V5" s="22"/>
      <c r="W5" s="22"/>
      <c r="X5" s="22"/>
      <c r="Y5" s="22"/>
      <c r="Z5" s="22"/>
      <c r="AA5" s="22"/>
      <c r="AB5" s="22"/>
    </row>
    <row r="6" spans="2:29" x14ac:dyDescent="0.3">
      <c r="D6" s="340"/>
      <c r="E6" s="340"/>
      <c r="F6" s="340"/>
      <c r="G6" s="340"/>
      <c r="H6" s="340"/>
      <c r="I6" s="340"/>
      <c r="J6" s="340"/>
      <c r="M6" s="22"/>
      <c r="N6" s="335" t="str">
        <f>PRIMARY!W13</f>
        <v>Contoura LASIK can be done</v>
      </c>
      <c r="O6" s="335"/>
      <c r="P6" s="335"/>
      <c r="Q6" s="335"/>
      <c r="R6" s="335"/>
      <c r="S6" s="335"/>
      <c r="T6" s="22"/>
      <c r="U6" s="22"/>
      <c r="V6" s="22"/>
      <c r="W6" s="22"/>
      <c r="X6" s="22"/>
      <c r="Y6" s="22"/>
      <c r="Z6" s="22"/>
      <c r="AA6" s="22"/>
      <c r="AB6" s="22"/>
    </row>
    <row r="7" spans="2:29" x14ac:dyDescent="0.3">
      <c r="D7" s="340"/>
      <c r="E7" s="340"/>
      <c r="F7" s="340"/>
      <c r="G7" s="340"/>
      <c r="H7" s="340"/>
      <c r="I7" s="340"/>
      <c r="J7" s="340"/>
      <c r="M7" s="22"/>
      <c r="N7" s="335"/>
      <c r="O7" s="335"/>
      <c r="P7" s="335"/>
      <c r="Q7" s="335"/>
      <c r="R7" s="335"/>
      <c r="S7" s="335"/>
      <c r="T7" s="22"/>
      <c r="U7" s="22"/>
      <c r="V7" s="22"/>
      <c r="W7" s="22"/>
      <c r="X7" s="22"/>
      <c r="Y7" s="22"/>
      <c r="Z7" s="22"/>
      <c r="AA7" s="22"/>
      <c r="AB7" s="22"/>
    </row>
    <row r="8" spans="2:29" x14ac:dyDescent="0.3">
      <c r="D8" s="340"/>
      <c r="E8" s="340"/>
      <c r="F8" s="340"/>
      <c r="G8" s="340"/>
      <c r="H8" s="340"/>
      <c r="I8" s="340"/>
      <c r="J8" s="340"/>
      <c r="M8" s="22"/>
      <c r="N8" s="89"/>
      <c r="O8" s="89"/>
      <c r="P8" s="89"/>
      <c r="Q8" s="89"/>
      <c r="R8" s="89"/>
      <c r="S8" s="89"/>
      <c r="T8" s="22"/>
      <c r="U8" s="22"/>
      <c r="V8" s="22"/>
      <c r="W8" s="22"/>
      <c r="X8" s="22"/>
      <c r="Y8" s="22"/>
      <c r="Z8" s="22"/>
      <c r="AA8" s="22"/>
      <c r="AB8" s="22"/>
    </row>
    <row r="9" spans="2:29" x14ac:dyDescent="0.3">
      <c r="D9" s="340"/>
      <c r="E9" s="340"/>
      <c r="F9" s="340"/>
      <c r="G9" s="340"/>
      <c r="H9" s="340"/>
      <c r="I9" s="340"/>
      <c r="J9" s="340"/>
      <c r="M9" s="22"/>
      <c r="N9" s="492" t="s">
        <v>302</v>
      </c>
      <c r="O9" s="492"/>
      <c r="P9" s="492"/>
      <c r="Q9" s="492"/>
      <c r="R9" s="492"/>
      <c r="S9" s="492"/>
      <c r="T9" s="22"/>
      <c r="U9" s="22"/>
      <c r="V9" s="22"/>
      <c r="W9" s="22"/>
      <c r="X9" s="22"/>
      <c r="Y9" s="22"/>
      <c r="Z9" s="22"/>
      <c r="AA9" s="22"/>
      <c r="AB9" s="22"/>
      <c r="AC9" t="s">
        <v>307</v>
      </c>
    </row>
    <row r="10" spans="2:29" ht="15.6" x14ac:dyDescent="0.3">
      <c r="D10" s="340"/>
      <c r="E10" s="340"/>
      <c r="F10" s="340"/>
      <c r="G10" s="340"/>
      <c r="H10" s="340"/>
      <c r="I10" s="340"/>
      <c r="J10" s="340"/>
      <c r="M10" s="22"/>
      <c r="N10" s="335" t="str">
        <f>'OD TALUS'!K76</f>
        <v>Contoura LASIK can safely be done, minimal Higher Order Aberrations</v>
      </c>
      <c r="O10" s="335"/>
      <c r="P10" s="335"/>
      <c r="Q10" s="335"/>
      <c r="R10" s="335"/>
      <c r="S10" s="335"/>
      <c r="T10" s="22"/>
      <c r="U10" s="487" t="s">
        <v>304</v>
      </c>
      <c r="V10" s="487"/>
      <c r="W10" s="487"/>
      <c r="X10" s="487"/>
      <c r="Y10" s="487"/>
      <c r="Z10" s="487"/>
      <c r="AA10" s="168">
        <f>'OD TALUS'!M15</f>
        <v>0</v>
      </c>
      <c r="AB10" s="22"/>
      <c r="AC10" t="s">
        <v>317</v>
      </c>
    </row>
    <row r="11" spans="2:29" x14ac:dyDescent="0.3">
      <c r="D11" s="340"/>
      <c r="E11" s="340"/>
      <c r="F11" s="340"/>
      <c r="G11" s="340"/>
      <c r="H11" s="340"/>
      <c r="I11" s="340"/>
      <c r="J11" s="340"/>
      <c r="M11" s="22"/>
      <c r="N11" s="335"/>
      <c r="O11" s="335"/>
      <c r="P11" s="335"/>
      <c r="Q11" s="335"/>
      <c r="R11" s="335"/>
      <c r="S11" s="335"/>
      <c r="T11" s="22"/>
      <c r="U11" s="437" t="s">
        <v>305</v>
      </c>
      <c r="V11" s="437"/>
      <c r="W11" s="437"/>
      <c r="X11" s="437"/>
      <c r="Y11" s="437"/>
      <c r="Z11" s="437"/>
      <c r="AA11" s="437"/>
      <c r="AB11" s="22"/>
    </row>
    <row r="12" spans="2:29" x14ac:dyDescent="0.3">
      <c r="D12" s="149"/>
      <c r="E12" s="149"/>
      <c r="F12" s="149"/>
      <c r="G12" s="149"/>
      <c r="H12" s="149"/>
      <c r="M12" s="22"/>
      <c r="N12" s="89"/>
      <c r="O12" s="89"/>
      <c r="P12" s="89"/>
      <c r="Q12" s="89"/>
      <c r="R12" s="89"/>
      <c r="S12" s="89"/>
      <c r="T12" s="22"/>
      <c r="U12" s="488" t="s">
        <v>307</v>
      </c>
      <c r="V12" s="488"/>
      <c r="W12" s="488"/>
      <c r="X12" s="488"/>
      <c r="Y12" s="488"/>
      <c r="Z12" s="488"/>
      <c r="AA12" s="488"/>
      <c r="AB12" s="22"/>
      <c r="AC12" t="s">
        <v>308</v>
      </c>
    </row>
    <row r="13" spans="2:29" ht="14.4" customHeight="1" x14ac:dyDescent="0.3">
      <c r="D13" s="494" t="s">
        <v>298</v>
      </c>
      <c r="E13" s="494"/>
      <c r="F13" s="494"/>
      <c r="G13" s="494"/>
      <c r="H13" s="148" t="s">
        <v>66</v>
      </c>
      <c r="I13" s="148" t="s">
        <v>18</v>
      </c>
      <c r="J13" s="148" t="s">
        <v>19</v>
      </c>
      <c r="M13" s="22"/>
      <c r="N13" s="432" t="s">
        <v>164</v>
      </c>
      <c r="O13" s="432"/>
      <c r="P13" s="432"/>
      <c r="Q13" s="432"/>
      <c r="R13" s="432"/>
      <c r="S13" s="432"/>
      <c r="T13" s="22"/>
      <c r="U13" s="22"/>
      <c r="V13" s="22"/>
      <c r="W13" s="22"/>
      <c r="X13" s="22"/>
      <c r="Y13" s="22"/>
      <c r="Z13" s="22"/>
      <c r="AA13" s="22"/>
      <c r="AB13" s="22"/>
      <c r="AC13" t="s">
        <v>309</v>
      </c>
    </row>
    <row r="14" spans="2:29" x14ac:dyDescent="0.3">
      <c r="D14" s="494"/>
      <c r="E14" s="494"/>
      <c r="F14" s="494"/>
      <c r="G14" s="494"/>
      <c r="H14" s="148"/>
      <c r="I14" s="169"/>
      <c r="J14" s="169"/>
      <c r="M14" s="22"/>
      <c r="N14" s="432" t="s">
        <v>17</v>
      </c>
      <c r="O14" s="432"/>
      <c r="P14" s="432" t="s">
        <v>312</v>
      </c>
      <c r="Q14" s="432"/>
      <c r="R14" s="432" t="s">
        <v>19</v>
      </c>
      <c r="S14" s="432"/>
      <c r="T14" s="22"/>
      <c r="U14" s="437" t="s">
        <v>306</v>
      </c>
      <c r="V14" s="437"/>
      <c r="W14" s="437"/>
      <c r="X14" s="437"/>
      <c r="Y14" s="437"/>
      <c r="Z14" s="437"/>
      <c r="AA14" s="437"/>
      <c r="AB14" s="22"/>
    </row>
    <row r="15" spans="2:29" ht="14.4" customHeight="1" x14ac:dyDescent="0.3">
      <c r="D15" s="494" t="s">
        <v>299</v>
      </c>
      <c r="E15" s="494"/>
      <c r="F15" s="494"/>
      <c r="G15" s="494"/>
      <c r="H15" s="148" t="s">
        <v>66</v>
      </c>
      <c r="I15" s="148" t="s">
        <v>18</v>
      </c>
      <c r="J15" s="148" t="s">
        <v>19</v>
      </c>
      <c r="M15" s="22"/>
      <c r="N15" s="491">
        <f>'Sheet2 (2)'!C6</f>
        <v>0</v>
      </c>
      <c r="O15" s="490"/>
      <c r="P15" s="491">
        <f>'Sheet2 (2)'!D6</f>
        <v>0</v>
      </c>
      <c r="Q15" s="490"/>
      <c r="R15" s="491">
        <f>'Sheet2 (2)'!E6</f>
        <v>0</v>
      </c>
      <c r="S15" s="490"/>
      <c r="T15" s="22"/>
      <c r="U15" s="488" t="s">
        <v>308</v>
      </c>
      <c r="V15" s="488"/>
      <c r="W15" s="488"/>
      <c r="X15" s="488"/>
      <c r="Y15" s="488"/>
      <c r="Z15" s="488"/>
      <c r="AA15" s="488"/>
      <c r="AB15" s="22"/>
    </row>
    <row r="16" spans="2:29" x14ac:dyDescent="0.3">
      <c r="D16" s="494"/>
      <c r="E16" s="494"/>
      <c r="F16" s="494"/>
      <c r="G16" s="494"/>
      <c r="H16" s="148"/>
      <c r="I16" s="169"/>
      <c r="J16" s="169"/>
      <c r="M16" s="22"/>
      <c r="N16" s="490"/>
      <c r="O16" s="490"/>
      <c r="P16" s="490"/>
      <c r="Q16" s="490"/>
      <c r="R16" s="490"/>
      <c r="S16" s="490"/>
      <c r="T16" s="22"/>
      <c r="U16" s="22"/>
      <c r="V16" s="22"/>
      <c r="W16" s="22"/>
      <c r="X16" s="22"/>
      <c r="Y16" s="22"/>
      <c r="Z16" s="22"/>
      <c r="AA16" s="22"/>
      <c r="AB16" s="22"/>
    </row>
    <row r="17" spans="4:28" ht="14.4" customHeight="1" thickBot="1" x14ac:dyDescent="0.35">
      <c r="D17" s="494" t="s">
        <v>300</v>
      </c>
      <c r="E17" s="494"/>
      <c r="F17" s="494"/>
      <c r="G17" s="494"/>
      <c r="H17" s="148" t="s">
        <v>66</v>
      </c>
      <c r="I17" s="148" t="s">
        <v>264</v>
      </c>
      <c r="J17" s="148" t="s">
        <v>19</v>
      </c>
      <c r="M17" s="22"/>
      <c r="N17" s="89"/>
      <c r="O17" s="89"/>
      <c r="P17" s="89"/>
      <c r="Q17" s="89"/>
      <c r="R17" s="89"/>
      <c r="S17" s="89"/>
      <c r="T17" s="22"/>
      <c r="U17" s="22"/>
      <c r="V17" s="22"/>
      <c r="W17" s="22"/>
      <c r="X17" s="22"/>
      <c r="Y17" s="22"/>
      <c r="Z17" s="22"/>
      <c r="AA17" s="22"/>
      <c r="AB17" s="22"/>
    </row>
    <row r="18" spans="4:28" ht="14.4" customHeight="1" x14ac:dyDescent="0.3">
      <c r="D18" s="494"/>
      <c r="E18" s="494"/>
      <c r="F18" s="494"/>
      <c r="G18" s="494"/>
      <c r="H18" s="148"/>
      <c r="I18" s="169"/>
      <c r="J18" s="169"/>
      <c r="M18" s="22"/>
      <c r="N18" s="489" t="s">
        <v>303</v>
      </c>
      <c r="O18" s="489"/>
      <c r="P18" s="489"/>
      <c r="Q18" s="489"/>
      <c r="R18" s="489"/>
      <c r="S18" s="489"/>
      <c r="T18" s="22"/>
      <c r="U18" s="477"/>
      <c r="V18" s="477"/>
      <c r="W18" s="22"/>
      <c r="X18" s="478" t="s">
        <v>310</v>
      </c>
      <c r="Y18" s="479"/>
      <c r="Z18" s="22"/>
      <c r="AA18" s="484" t="s">
        <v>294</v>
      </c>
      <c r="AB18" s="22"/>
    </row>
    <row r="19" spans="4:28" ht="18" x14ac:dyDescent="0.3">
      <c r="D19" s="149"/>
      <c r="E19" s="149"/>
      <c r="F19" s="149"/>
      <c r="G19" s="149"/>
      <c r="H19" s="149"/>
      <c r="M19" s="22"/>
      <c r="N19" s="489" t="s">
        <v>17</v>
      </c>
      <c r="O19" s="489"/>
      <c r="P19" s="489" t="s">
        <v>312</v>
      </c>
      <c r="Q19" s="489"/>
      <c r="R19" s="489" t="s">
        <v>19</v>
      </c>
      <c r="S19" s="489"/>
      <c r="T19" s="22"/>
      <c r="U19" s="477"/>
      <c r="V19" s="477"/>
      <c r="W19" s="22"/>
      <c r="X19" s="480"/>
      <c r="Y19" s="481"/>
      <c r="Z19" s="22"/>
      <c r="AA19" s="485"/>
      <c r="AB19" s="22"/>
    </row>
    <row r="20" spans="4:28" ht="15" thickBot="1" x14ac:dyDescent="0.35">
      <c r="D20" s="495" t="s">
        <v>273</v>
      </c>
      <c r="E20" s="495"/>
      <c r="F20" s="495"/>
      <c r="G20" s="495"/>
      <c r="H20" s="170"/>
      <c r="M20" s="22"/>
      <c r="N20" s="490" t="e">
        <f>Z32</f>
        <v>#DIV/0!</v>
      </c>
      <c r="O20" s="490"/>
      <c r="P20" s="490" t="e">
        <f>Q27</f>
        <v>#DIV/0!</v>
      </c>
      <c r="Q20" s="490"/>
      <c r="R20" s="490" t="e">
        <f>R27</f>
        <v>#DIV/0!</v>
      </c>
      <c r="S20" s="490"/>
      <c r="T20" s="22"/>
      <c r="U20" s="477"/>
      <c r="V20" s="477"/>
      <c r="W20" s="22"/>
      <c r="X20" s="482"/>
      <c r="Y20" s="483"/>
      <c r="Z20" s="22"/>
      <c r="AA20" s="486"/>
      <c r="AB20" s="22"/>
    </row>
    <row r="21" spans="4:28" x14ac:dyDescent="0.3">
      <c r="D21" s="149"/>
      <c r="E21" s="149"/>
      <c r="F21" s="149"/>
      <c r="G21" s="149"/>
      <c r="H21" s="149"/>
      <c r="M21" s="22"/>
      <c r="N21" s="490"/>
      <c r="O21" s="490"/>
      <c r="P21" s="490"/>
      <c r="Q21" s="490"/>
      <c r="R21" s="490"/>
      <c r="S21" s="490"/>
      <c r="T21" s="22"/>
      <c r="U21" s="22"/>
      <c r="V21" s="22"/>
      <c r="W21" s="22"/>
      <c r="X21" s="22"/>
      <c r="Y21" s="22"/>
      <c r="Z21" s="22"/>
      <c r="AA21" s="22"/>
      <c r="AB21" s="22"/>
    </row>
    <row r="22" spans="4:28" x14ac:dyDescent="0.3">
      <c r="D22" s="475"/>
      <c r="E22" s="475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4:28" x14ac:dyDescent="0.3"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5" spans="4:28" hidden="1" x14ac:dyDescent="0.3">
      <c r="P25" t="s">
        <v>221</v>
      </c>
    </row>
    <row r="26" spans="4:28" hidden="1" x14ac:dyDescent="0.3">
      <c r="P26" t="s">
        <v>66</v>
      </c>
      <c r="Q26" t="s">
        <v>18</v>
      </c>
      <c r="R26" t="s">
        <v>19</v>
      </c>
      <c r="W26" t="s">
        <v>315</v>
      </c>
      <c r="X26">
        <f>IF(U12="INCLUDE MYOPIC OVERCORRECTION IN FINAL REFRACTION", 1, 2)</f>
        <v>1</v>
      </c>
      <c r="Z26" t="e">
        <f>IF(X26=1, P27, P28)</f>
        <v>#DIV/0!</v>
      </c>
    </row>
    <row r="27" spans="4:28" hidden="1" x14ac:dyDescent="0.3">
      <c r="N27" s="475" t="s">
        <v>313</v>
      </c>
      <c r="O27" s="475"/>
      <c r="P27" t="e">
        <f>'OD TALUS'!H70</f>
        <v>#DIV/0!</v>
      </c>
      <c r="Q27" t="e">
        <f>'OD TALUS'!I70</f>
        <v>#DIV/0!</v>
      </c>
      <c r="R27" t="e">
        <f>'OD TALUS'!J71</f>
        <v>#DIV/0!</v>
      </c>
    </row>
    <row r="28" spans="4:28" hidden="1" x14ac:dyDescent="0.3">
      <c r="N28" s="475" t="s">
        <v>314</v>
      </c>
      <c r="O28" s="475"/>
      <c r="P28" t="e">
        <f>ROUND('OD TALUS'!O14, 2)</f>
        <v>#DIV/0!</v>
      </c>
      <c r="W28" t="s">
        <v>316</v>
      </c>
      <c r="X28">
        <f>IF(U15="ADD SPHERE NOMOGRAM ADJUSTMENT IN FINAL REFRACTION", 1, 2)</f>
        <v>1</v>
      </c>
    </row>
    <row r="29" spans="4:28" hidden="1" x14ac:dyDescent="0.3">
      <c r="N29" s="475" t="s">
        <v>318</v>
      </c>
      <c r="O29" s="475"/>
    </row>
    <row r="30" spans="4:28" hidden="1" x14ac:dyDescent="0.3">
      <c r="N30" s="475" t="s">
        <v>319</v>
      </c>
      <c r="O30" s="475"/>
      <c r="W30" t="e">
        <f>Z26*-1</f>
        <v>#DIV/0!</v>
      </c>
    </row>
    <row r="31" spans="4:28" hidden="1" x14ac:dyDescent="0.3">
      <c r="W31" t="e">
        <f>IF(W30&lt;5.5, "0", IF(W30&lt;7.25, "0.25", IF(W30&lt;8.5, "0.5", IF(W30&lt;9.75, "0.75", "1"))))</f>
        <v>#DIV/0!</v>
      </c>
    </row>
    <row r="32" spans="4:28" hidden="1" x14ac:dyDescent="0.3">
      <c r="W32" t="e">
        <f>Z26+W31</f>
        <v>#DIV/0!</v>
      </c>
      <c r="Z32" t="e">
        <f>IF(X28=1, W32, Z26)</f>
        <v>#DIV/0!</v>
      </c>
    </row>
  </sheetData>
  <sheetProtection sheet="1" objects="1" scenarios="1" selectLockedCells="1"/>
  <mergeCells count="41">
    <mergeCell ref="D13:G14"/>
    <mergeCell ref="D22:E22"/>
    <mergeCell ref="D15:G16"/>
    <mergeCell ref="D17:G18"/>
    <mergeCell ref="D20:G20"/>
    <mergeCell ref="D5:J6"/>
    <mergeCell ref="D7:J7"/>
    <mergeCell ref="D8:J9"/>
    <mergeCell ref="D2:H3"/>
    <mergeCell ref="D10:J11"/>
    <mergeCell ref="N5:S5"/>
    <mergeCell ref="N6:S7"/>
    <mergeCell ref="N9:S9"/>
    <mergeCell ref="N10:S11"/>
    <mergeCell ref="N13:S13"/>
    <mergeCell ref="R19:S19"/>
    <mergeCell ref="N20:O21"/>
    <mergeCell ref="P20:Q21"/>
    <mergeCell ref="R20:S21"/>
    <mergeCell ref="N14:O14"/>
    <mergeCell ref="P14:Q14"/>
    <mergeCell ref="R14:S14"/>
    <mergeCell ref="N15:O16"/>
    <mergeCell ref="P15:Q16"/>
    <mergeCell ref="R15:S16"/>
    <mergeCell ref="N27:O27"/>
    <mergeCell ref="N28:O28"/>
    <mergeCell ref="N29:O29"/>
    <mergeCell ref="N30:O30"/>
    <mergeCell ref="N2:AA3"/>
    <mergeCell ref="U18:V20"/>
    <mergeCell ref="X18:Y20"/>
    <mergeCell ref="AA18:AA20"/>
    <mergeCell ref="U10:Z10"/>
    <mergeCell ref="U11:AA11"/>
    <mergeCell ref="U12:AA12"/>
    <mergeCell ref="U14:AA14"/>
    <mergeCell ref="U15:AA15"/>
    <mergeCell ref="N18:S18"/>
    <mergeCell ref="N19:O19"/>
    <mergeCell ref="P19:Q19"/>
  </mergeCells>
  <dataValidations count="2">
    <dataValidation type="list" allowBlank="1" showInputMessage="1" showErrorMessage="1" sqref="U12:AA12" xr:uid="{00000000-0002-0000-0700-000000000000}">
      <formula1>$AC$9:$AC$10</formula1>
    </dataValidation>
    <dataValidation type="list" allowBlank="1" showInputMessage="1" showErrorMessage="1" sqref="U15:AA15" xr:uid="{00000000-0002-0000-0700-000001000000}">
      <formula1>$AC$12:$AC$13</formula1>
    </dataValidation>
  </dataValidations>
  <hyperlinks>
    <hyperlink ref="X18:Y20" location="PRIMARY!E9" display="GO TO PRIMARY SHEET" xr:uid="{D97887E6-00E8-4ADB-81CA-B74AA2776946}"/>
    <hyperlink ref="AA18:AA20" location="'Sheet2 (2)'!B19" display="BACK" xr:uid="{9493A043-185D-4834-8EFB-C8BBEAC5CB50}"/>
  </hyperlinks>
  <pageMargins left="0.7" right="0.7" top="0.75" bottom="0.75" header="0.3" footer="0.3"/>
  <pageSetup scale="64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32"/>
  <sheetViews>
    <sheetView showRowColHeaders="0" topLeftCell="M1" zoomScale="140" zoomScaleNormal="140" workbookViewId="0">
      <selection activeCell="X18" sqref="X18:Y20"/>
    </sheetView>
  </sheetViews>
  <sheetFormatPr defaultColWidth="0" defaultRowHeight="14.4" zeroHeight="1" x14ac:dyDescent="0.3"/>
  <cols>
    <col min="1" max="1" width="4.77734375" hidden="1" customWidth="1"/>
    <col min="2" max="12" width="0" hidden="1" customWidth="1"/>
    <col min="13" max="28" width="8.77734375" customWidth="1"/>
    <col min="29" max="29" width="0" hidden="1" customWidth="1"/>
    <col min="30" max="16384" width="8.77734375" hidden="1"/>
  </cols>
  <sheetData>
    <row r="1" spans="4:29" x14ac:dyDescent="0.3"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</row>
    <row r="2" spans="4:29" x14ac:dyDescent="0.3">
      <c r="D2" s="493" t="s">
        <v>272</v>
      </c>
      <c r="E2" s="493"/>
      <c r="F2" s="493"/>
      <c r="G2" s="493"/>
      <c r="H2" s="493"/>
      <c r="M2" s="22"/>
      <c r="N2" s="496" t="s">
        <v>311</v>
      </c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  <c r="AB2" s="22"/>
    </row>
    <row r="3" spans="4:29" x14ac:dyDescent="0.3">
      <c r="D3" s="493"/>
      <c r="E3" s="493"/>
      <c r="F3" s="493"/>
      <c r="G3" s="493"/>
      <c r="H3" s="493"/>
      <c r="M3" s="22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22"/>
    </row>
    <row r="4" spans="4:29" x14ac:dyDescent="0.3">
      <c r="D4" s="149"/>
      <c r="E4" s="149"/>
      <c r="F4" s="149"/>
      <c r="G4" s="149"/>
      <c r="H4" s="149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</row>
    <row r="5" spans="4:29" x14ac:dyDescent="0.3">
      <c r="D5" s="340"/>
      <c r="E5" s="340"/>
      <c r="F5" s="340"/>
      <c r="G5" s="340"/>
      <c r="H5" s="340"/>
      <c r="I5" s="340"/>
      <c r="J5" s="340"/>
      <c r="M5" s="22"/>
      <c r="N5" s="492" t="s">
        <v>301</v>
      </c>
      <c r="O5" s="492"/>
      <c r="P5" s="492"/>
      <c r="Q5" s="492"/>
      <c r="R5" s="492"/>
      <c r="S5" s="492"/>
      <c r="T5" s="22"/>
      <c r="U5" s="22"/>
      <c r="V5" s="22"/>
      <c r="W5" s="22"/>
      <c r="X5" s="22"/>
      <c r="Y5" s="22"/>
      <c r="Z5" s="22"/>
      <c r="AA5" s="22"/>
      <c r="AB5" s="22"/>
    </row>
    <row r="6" spans="4:29" x14ac:dyDescent="0.3">
      <c r="D6" s="340"/>
      <c r="E6" s="340"/>
      <c r="F6" s="340"/>
      <c r="G6" s="340"/>
      <c r="H6" s="340"/>
      <c r="I6" s="340"/>
      <c r="J6" s="340"/>
      <c r="M6" s="22"/>
      <c r="N6" s="505" t="str">
        <f>PRIMARY!Z13</f>
        <v>Contoura LASIK can be done</v>
      </c>
      <c r="O6" s="505"/>
      <c r="P6" s="505"/>
      <c r="Q6" s="505"/>
      <c r="R6" s="505"/>
      <c r="S6" s="505"/>
      <c r="T6" s="22"/>
      <c r="U6" s="22"/>
      <c r="V6" s="22"/>
      <c r="W6" s="22"/>
      <c r="X6" s="22"/>
      <c r="Y6" s="22"/>
      <c r="Z6" s="22"/>
      <c r="AA6" s="22"/>
      <c r="AB6" s="22"/>
    </row>
    <row r="7" spans="4:29" x14ac:dyDescent="0.3">
      <c r="D7" s="340"/>
      <c r="E7" s="340"/>
      <c r="F7" s="340"/>
      <c r="G7" s="340"/>
      <c r="H7" s="340"/>
      <c r="I7" s="340"/>
      <c r="J7" s="340"/>
      <c r="M7" s="22"/>
      <c r="N7" s="505"/>
      <c r="O7" s="505"/>
      <c r="P7" s="505"/>
      <c r="Q7" s="505"/>
      <c r="R7" s="505"/>
      <c r="S7" s="505"/>
      <c r="T7" s="22"/>
      <c r="U7" s="22"/>
      <c r="V7" s="22"/>
      <c r="W7" s="22"/>
      <c r="X7" s="22"/>
      <c r="Y7" s="22"/>
      <c r="Z7" s="22"/>
      <c r="AA7" s="22"/>
      <c r="AB7" s="22"/>
    </row>
    <row r="8" spans="4:29" x14ac:dyDescent="0.3">
      <c r="D8" s="340"/>
      <c r="E8" s="340"/>
      <c r="F8" s="340"/>
      <c r="G8" s="340"/>
      <c r="H8" s="340"/>
      <c r="I8" s="340"/>
      <c r="J8" s="340"/>
      <c r="M8" s="22"/>
      <c r="N8" s="90"/>
      <c r="O8" s="90"/>
      <c r="P8" s="90"/>
      <c r="Q8" s="90"/>
      <c r="R8" s="90"/>
      <c r="S8" s="90"/>
      <c r="T8" s="22"/>
      <c r="U8" s="22"/>
      <c r="V8" s="22"/>
      <c r="W8" s="22"/>
      <c r="X8" s="22"/>
      <c r="Y8" s="22"/>
      <c r="Z8" s="22"/>
      <c r="AA8" s="22"/>
      <c r="AB8" s="22"/>
    </row>
    <row r="9" spans="4:29" x14ac:dyDescent="0.3">
      <c r="D9" s="340"/>
      <c r="E9" s="340"/>
      <c r="F9" s="340"/>
      <c r="G9" s="340"/>
      <c r="H9" s="340"/>
      <c r="I9" s="340"/>
      <c r="J9" s="340"/>
      <c r="M9" s="22"/>
      <c r="N9" s="492" t="s">
        <v>302</v>
      </c>
      <c r="O9" s="492"/>
      <c r="P9" s="492"/>
      <c r="Q9" s="492"/>
      <c r="R9" s="492"/>
      <c r="S9" s="492"/>
      <c r="T9" s="22"/>
      <c r="U9" s="22"/>
      <c r="V9" s="22"/>
      <c r="W9" s="22"/>
      <c r="X9" s="22"/>
      <c r="Y9" s="22"/>
      <c r="Z9" s="22"/>
      <c r="AA9" s="22"/>
      <c r="AB9" s="22"/>
      <c r="AC9" t="s">
        <v>307</v>
      </c>
    </row>
    <row r="10" spans="4:29" ht="15.6" x14ac:dyDescent="0.3">
      <c r="D10" s="340"/>
      <c r="E10" s="340"/>
      <c r="F10" s="340"/>
      <c r="G10" s="340"/>
      <c r="H10" s="340"/>
      <c r="I10" s="340"/>
      <c r="J10" s="340"/>
      <c r="M10" s="22"/>
      <c r="N10" s="505" t="str">
        <f>'OS TALUS'!K76</f>
        <v>Contoura LASIK can safely be done, minimal Higher Order Aberrations</v>
      </c>
      <c r="O10" s="505"/>
      <c r="P10" s="505"/>
      <c r="Q10" s="505"/>
      <c r="R10" s="505"/>
      <c r="S10" s="505"/>
      <c r="T10" s="22"/>
      <c r="U10" s="445" t="s">
        <v>304</v>
      </c>
      <c r="V10" s="445"/>
      <c r="W10" s="445"/>
      <c r="X10" s="445"/>
      <c r="Y10" s="445"/>
      <c r="Z10" s="445"/>
      <c r="AA10" s="171">
        <f>'OS TALUS'!M15</f>
        <v>0</v>
      </c>
      <c r="AB10" s="22"/>
      <c r="AC10" t="s">
        <v>317</v>
      </c>
    </row>
    <row r="11" spans="4:29" x14ac:dyDescent="0.3">
      <c r="D11" s="340"/>
      <c r="E11" s="340"/>
      <c r="F11" s="340"/>
      <c r="G11" s="340"/>
      <c r="H11" s="340"/>
      <c r="I11" s="340"/>
      <c r="J11" s="340"/>
      <c r="M11" s="22"/>
      <c r="N11" s="505"/>
      <c r="O11" s="505"/>
      <c r="P11" s="505"/>
      <c r="Q11" s="505"/>
      <c r="R11" s="505"/>
      <c r="S11" s="505"/>
      <c r="T11" s="22"/>
      <c r="U11" s="459" t="s">
        <v>305</v>
      </c>
      <c r="V11" s="459"/>
      <c r="W11" s="459"/>
      <c r="X11" s="459"/>
      <c r="Y11" s="459"/>
      <c r="Z11" s="459"/>
      <c r="AA11" s="459"/>
      <c r="AB11" s="22"/>
    </row>
    <row r="12" spans="4:29" x14ac:dyDescent="0.3">
      <c r="D12" s="149"/>
      <c r="E12" s="149"/>
      <c r="F12" s="149"/>
      <c r="G12" s="149"/>
      <c r="H12" s="149"/>
      <c r="M12" s="22"/>
      <c r="N12" s="90"/>
      <c r="O12" s="90"/>
      <c r="P12" s="90"/>
      <c r="Q12" s="90"/>
      <c r="R12" s="90"/>
      <c r="S12" s="90"/>
      <c r="T12" s="22"/>
      <c r="U12" s="488" t="s">
        <v>307</v>
      </c>
      <c r="V12" s="488"/>
      <c r="W12" s="488"/>
      <c r="X12" s="488"/>
      <c r="Y12" s="488"/>
      <c r="Z12" s="488"/>
      <c r="AA12" s="488"/>
      <c r="AB12" s="22"/>
      <c r="AC12" t="s">
        <v>308</v>
      </c>
    </row>
    <row r="13" spans="4:29" ht="14.4" customHeight="1" x14ac:dyDescent="0.3">
      <c r="D13" s="506" t="s">
        <v>298</v>
      </c>
      <c r="E13" s="506"/>
      <c r="F13" s="506"/>
      <c r="G13" s="506"/>
      <c r="H13" s="172" t="s">
        <v>66</v>
      </c>
      <c r="I13" s="172" t="s">
        <v>18</v>
      </c>
      <c r="J13" s="172" t="s">
        <v>19</v>
      </c>
      <c r="M13" s="22"/>
      <c r="N13" s="502" t="s">
        <v>164</v>
      </c>
      <c r="O13" s="502"/>
      <c r="P13" s="502"/>
      <c r="Q13" s="502"/>
      <c r="R13" s="502"/>
      <c r="S13" s="502"/>
      <c r="T13" s="22"/>
      <c r="U13" s="22"/>
      <c r="V13" s="22"/>
      <c r="W13" s="22"/>
      <c r="X13" s="22"/>
      <c r="Y13" s="22"/>
      <c r="Z13" s="22"/>
      <c r="AA13" s="22"/>
      <c r="AB13" s="22"/>
      <c r="AC13" t="s">
        <v>309</v>
      </c>
    </row>
    <row r="14" spans="4:29" x14ac:dyDescent="0.3">
      <c r="D14" s="506"/>
      <c r="E14" s="506"/>
      <c r="F14" s="506"/>
      <c r="G14" s="506"/>
      <c r="H14" s="172"/>
      <c r="I14" s="169"/>
      <c r="J14" s="169"/>
      <c r="M14" s="22"/>
      <c r="N14" s="502" t="s">
        <v>17</v>
      </c>
      <c r="O14" s="502"/>
      <c r="P14" s="502" t="s">
        <v>312</v>
      </c>
      <c r="Q14" s="502"/>
      <c r="R14" s="502" t="s">
        <v>19</v>
      </c>
      <c r="S14" s="502"/>
      <c r="T14" s="22"/>
      <c r="U14" s="459" t="s">
        <v>306</v>
      </c>
      <c r="V14" s="459"/>
      <c r="W14" s="459"/>
      <c r="X14" s="459"/>
      <c r="Y14" s="459"/>
      <c r="Z14" s="459"/>
      <c r="AA14" s="459"/>
      <c r="AB14" s="22"/>
    </row>
    <row r="15" spans="4:29" ht="14.4" customHeight="1" x14ac:dyDescent="0.3">
      <c r="D15" s="506" t="s">
        <v>299</v>
      </c>
      <c r="E15" s="506"/>
      <c r="F15" s="506"/>
      <c r="G15" s="506"/>
      <c r="H15" s="172" t="s">
        <v>66</v>
      </c>
      <c r="I15" s="172" t="s">
        <v>18</v>
      </c>
      <c r="J15" s="172" t="s">
        <v>19</v>
      </c>
      <c r="M15" s="22"/>
      <c r="N15" s="504">
        <f>'Sheet3 (2)'!C6</f>
        <v>0</v>
      </c>
      <c r="O15" s="503"/>
      <c r="P15" s="504">
        <f>'Sheet3 (2)'!D6</f>
        <v>0</v>
      </c>
      <c r="Q15" s="503"/>
      <c r="R15" s="504">
        <f>'Sheet3 (2)'!E6</f>
        <v>0</v>
      </c>
      <c r="S15" s="503"/>
      <c r="T15" s="22"/>
      <c r="U15" s="488" t="s">
        <v>308</v>
      </c>
      <c r="V15" s="488"/>
      <c r="W15" s="488"/>
      <c r="X15" s="488"/>
      <c r="Y15" s="488"/>
      <c r="Z15" s="488"/>
      <c r="AA15" s="488"/>
      <c r="AB15" s="22"/>
    </row>
    <row r="16" spans="4:29" x14ac:dyDescent="0.3">
      <c r="D16" s="506"/>
      <c r="E16" s="506"/>
      <c r="F16" s="506"/>
      <c r="G16" s="506"/>
      <c r="H16" s="172"/>
      <c r="I16" s="169"/>
      <c r="J16" s="169"/>
      <c r="M16" s="22"/>
      <c r="N16" s="503"/>
      <c r="O16" s="503"/>
      <c r="P16" s="503"/>
      <c r="Q16" s="503"/>
      <c r="R16" s="503"/>
      <c r="S16" s="503"/>
      <c r="T16" s="22"/>
      <c r="U16" s="22"/>
      <c r="V16" s="22"/>
      <c r="W16" s="22"/>
      <c r="X16" s="22"/>
      <c r="Y16" s="22"/>
      <c r="Z16" s="22"/>
      <c r="AA16" s="22"/>
      <c r="AB16" s="22"/>
    </row>
    <row r="17" spans="4:28" ht="14.4" customHeight="1" thickBot="1" x14ac:dyDescent="0.35">
      <c r="D17" s="506" t="s">
        <v>300</v>
      </c>
      <c r="E17" s="506"/>
      <c r="F17" s="506"/>
      <c r="G17" s="506"/>
      <c r="H17" s="172" t="s">
        <v>66</v>
      </c>
      <c r="I17" s="172" t="s">
        <v>264</v>
      </c>
      <c r="J17" s="172" t="s">
        <v>19</v>
      </c>
      <c r="M17" s="22"/>
      <c r="N17" s="90"/>
      <c r="O17" s="90"/>
      <c r="P17" s="90"/>
      <c r="Q17" s="90"/>
      <c r="R17" s="90"/>
      <c r="S17" s="90"/>
      <c r="T17" s="22"/>
      <c r="U17" s="22"/>
      <c r="V17" s="22"/>
      <c r="W17" s="22"/>
      <c r="X17" s="22"/>
      <c r="Y17" s="22"/>
      <c r="Z17" s="22"/>
      <c r="AA17" s="22"/>
      <c r="AB17" s="22"/>
    </row>
    <row r="18" spans="4:28" ht="14.4" customHeight="1" x14ac:dyDescent="0.3">
      <c r="D18" s="506"/>
      <c r="E18" s="506"/>
      <c r="F18" s="506"/>
      <c r="G18" s="506"/>
      <c r="H18" s="172"/>
      <c r="I18" s="169"/>
      <c r="J18" s="169"/>
      <c r="M18" s="22"/>
      <c r="N18" s="501" t="s">
        <v>303</v>
      </c>
      <c r="O18" s="501"/>
      <c r="P18" s="501"/>
      <c r="Q18" s="501"/>
      <c r="R18" s="501"/>
      <c r="S18" s="501"/>
      <c r="T18" s="22"/>
      <c r="U18" s="497"/>
      <c r="V18" s="497"/>
      <c r="W18" s="22"/>
      <c r="X18" s="478" t="s">
        <v>310</v>
      </c>
      <c r="Y18" s="479"/>
      <c r="Z18" s="22"/>
      <c r="AA18" s="498" t="s">
        <v>294</v>
      </c>
      <c r="AB18" s="22"/>
    </row>
    <row r="19" spans="4:28" ht="18" x14ac:dyDescent="0.3">
      <c r="D19" s="149"/>
      <c r="E19" s="149"/>
      <c r="F19" s="149"/>
      <c r="G19" s="149"/>
      <c r="H19" s="149"/>
      <c r="M19" s="22"/>
      <c r="N19" s="501" t="s">
        <v>17</v>
      </c>
      <c r="O19" s="501"/>
      <c r="P19" s="501" t="s">
        <v>312</v>
      </c>
      <c r="Q19" s="501"/>
      <c r="R19" s="501" t="s">
        <v>19</v>
      </c>
      <c r="S19" s="501"/>
      <c r="T19" s="22"/>
      <c r="U19" s="497"/>
      <c r="V19" s="497"/>
      <c r="W19" s="22"/>
      <c r="X19" s="480"/>
      <c r="Y19" s="481"/>
      <c r="Z19" s="22"/>
      <c r="AA19" s="499"/>
      <c r="AB19" s="22"/>
    </row>
    <row r="20" spans="4:28" ht="15" thickBot="1" x14ac:dyDescent="0.35">
      <c r="D20" s="495" t="s">
        <v>273</v>
      </c>
      <c r="E20" s="495"/>
      <c r="F20" s="495"/>
      <c r="G20" s="495"/>
      <c r="H20" s="170"/>
      <c r="M20" s="22"/>
      <c r="N20" s="503" t="e">
        <f>Z32</f>
        <v>#DIV/0!</v>
      </c>
      <c r="O20" s="503"/>
      <c r="P20" s="503" t="e">
        <f>Q27</f>
        <v>#DIV/0!</v>
      </c>
      <c r="Q20" s="503"/>
      <c r="R20" s="503" t="e">
        <f>R27</f>
        <v>#DIV/0!</v>
      </c>
      <c r="S20" s="503"/>
      <c r="T20" s="22"/>
      <c r="U20" s="497"/>
      <c r="V20" s="497"/>
      <c r="W20" s="22"/>
      <c r="X20" s="482"/>
      <c r="Y20" s="483"/>
      <c r="Z20" s="22"/>
      <c r="AA20" s="500"/>
      <c r="AB20" s="22"/>
    </row>
    <row r="21" spans="4:28" x14ac:dyDescent="0.3">
      <c r="D21" s="149"/>
      <c r="E21" s="149"/>
      <c r="F21" s="149"/>
      <c r="G21" s="149"/>
      <c r="H21" s="149"/>
      <c r="M21" s="22"/>
      <c r="N21" s="503"/>
      <c r="O21" s="503"/>
      <c r="P21" s="503"/>
      <c r="Q21" s="503"/>
      <c r="R21" s="503"/>
      <c r="S21" s="503"/>
      <c r="T21" s="22"/>
      <c r="U21" s="22"/>
      <c r="V21" s="22"/>
      <c r="W21" s="22"/>
      <c r="X21" s="22"/>
      <c r="Y21" s="22"/>
      <c r="Z21" s="22"/>
      <c r="AA21" s="22"/>
      <c r="AB21" s="22"/>
    </row>
    <row r="22" spans="4:28" x14ac:dyDescent="0.3"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4:28" x14ac:dyDescent="0.3"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5" spans="4:28" hidden="1" x14ac:dyDescent="0.3">
      <c r="P25" t="s">
        <v>221</v>
      </c>
    </row>
    <row r="26" spans="4:28" hidden="1" x14ac:dyDescent="0.3">
      <c r="P26" t="s">
        <v>66</v>
      </c>
      <c r="Q26" t="s">
        <v>18</v>
      </c>
      <c r="R26" t="s">
        <v>19</v>
      </c>
      <c r="W26" t="s">
        <v>315</v>
      </c>
      <c r="X26">
        <f>IF(U12="INCLUDE MYOPIC OVERCORRECTION IN FINAL REFRACTION", 1, 2)</f>
        <v>1</v>
      </c>
      <c r="Z26" t="e">
        <f>IF(X26=1, P27, P28)</f>
        <v>#DIV/0!</v>
      </c>
    </row>
    <row r="27" spans="4:28" hidden="1" x14ac:dyDescent="0.3">
      <c r="N27" s="475" t="s">
        <v>313</v>
      </c>
      <c r="O27" s="475"/>
      <c r="P27" t="e">
        <f>'OS TALUS'!H70</f>
        <v>#DIV/0!</v>
      </c>
      <c r="Q27" t="e">
        <f>'OS TALUS'!I70</f>
        <v>#DIV/0!</v>
      </c>
      <c r="R27" t="e">
        <f>'OS TALUS'!J70</f>
        <v>#DIV/0!</v>
      </c>
    </row>
    <row r="28" spans="4:28" hidden="1" x14ac:dyDescent="0.3">
      <c r="N28" s="475" t="s">
        <v>314</v>
      </c>
      <c r="O28" s="475"/>
      <c r="P28" t="e">
        <f>ROUND('OS TALUS'!O14, 2)</f>
        <v>#DIV/0!</v>
      </c>
      <c r="W28" t="s">
        <v>316</v>
      </c>
      <c r="X28">
        <f>IF(U15="ADD SPHERE NOMOGRAM ADJUSTMENT IN FINAL REFRACTION", 1, 2)</f>
        <v>1</v>
      </c>
    </row>
    <row r="29" spans="4:28" hidden="1" x14ac:dyDescent="0.3">
      <c r="N29" s="475" t="s">
        <v>318</v>
      </c>
      <c r="O29" s="475"/>
    </row>
    <row r="30" spans="4:28" hidden="1" x14ac:dyDescent="0.3">
      <c r="N30" s="475" t="s">
        <v>319</v>
      </c>
      <c r="O30" s="475"/>
      <c r="W30" t="e">
        <f>Z26*-1</f>
        <v>#DIV/0!</v>
      </c>
    </row>
    <row r="31" spans="4:28" hidden="1" x14ac:dyDescent="0.3">
      <c r="W31" t="e">
        <f>IF(W30&lt;5.5, "0", IF(W30&lt;7.25, "0.25", IF(W30&lt;8.5, "0.5", IF(W30&lt;9.75, "0.75", "1"))))</f>
        <v>#DIV/0!</v>
      </c>
    </row>
    <row r="32" spans="4:28" hidden="1" x14ac:dyDescent="0.3">
      <c r="W32" t="e">
        <f>Z26+W31</f>
        <v>#DIV/0!</v>
      </c>
      <c r="Z32" t="e">
        <f>IF(X28=1, W32, Z26)</f>
        <v>#DIV/0!</v>
      </c>
    </row>
  </sheetData>
  <sheetProtection sheet="1" objects="1" scenarios="1" selectLockedCells="1"/>
  <mergeCells count="40">
    <mergeCell ref="D13:G14"/>
    <mergeCell ref="D15:G16"/>
    <mergeCell ref="D17:G18"/>
    <mergeCell ref="D20:G20"/>
    <mergeCell ref="D5:J6"/>
    <mergeCell ref="D7:J7"/>
    <mergeCell ref="D8:J9"/>
    <mergeCell ref="D2:H3"/>
    <mergeCell ref="D10:J11"/>
    <mergeCell ref="N5:S5"/>
    <mergeCell ref="N6:S7"/>
    <mergeCell ref="N9:S9"/>
    <mergeCell ref="N10:S11"/>
    <mergeCell ref="N13:S13"/>
    <mergeCell ref="R19:S19"/>
    <mergeCell ref="N20:O21"/>
    <mergeCell ref="P20:Q21"/>
    <mergeCell ref="R20:S21"/>
    <mergeCell ref="N14:O14"/>
    <mergeCell ref="P14:Q14"/>
    <mergeCell ref="R14:S14"/>
    <mergeCell ref="N15:O16"/>
    <mergeCell ref="P15:Q16"/>
    <mergeCell ref="R15:S16"/>
    <mergeCell ref="N27:O27"/>
    <mergeCell ref="N28:O28"/>
    <mergeCell ref="N29:O29"/>
    <mergeCell ref="N30:O30"/>
    <mergeCell ref="N2:AA3"/>
    <mergeCell ref="U18:V20"/>
    <mergeCell ref="X18:Y20"/>
    <mergeCell ref="AA18:AA20"/>
    <mergeCell ref="U10:Z10"/>
    <mergeCell ref="U11:AA11"/>
    <mergeCell ref="U12:AA12"/>
    <mergeCell ref="U14:AA14"/>
    <mergeCell ref="U15:AA15"/>
    <mergeCell ref="N18:S18"/>
    <mergeCell ref="N19:O19"/>
    <mergeCell ref="P19:Q19"/>
  </mergeCells>
  <dataValidations count="2">
    <dataValidation type="list" allowBlank="1" showInputMessage="1" showErrorMessage="1" sqref="U12:AA12" xr:uid="{00000000-0002-0000-0800-000000000000}">
      <formula1>$AC$9:$AC$10</formula1>
    </dataValidation>
    <dataValidation type="list" allowBlank="1" showInputMessage="1" showErrorMessage="1" sqref="U15:AA15" xr:uid="{00000000-0002-0000-0800-000001000000}">
      <formula1>$AC$12:$AC$13</formula1>
    </dataValidation>
  </dataValidations>
  <hyperlinks>
    <hyperlink ref="X18:Y20" location="PRIMARY!E9" display="GO TO PRIMARY SHEET" xr:uid="{9369BB90-9D08-4F6A-948C-8011CCA7A94C}"/>
    <hyperlink ref="AA18:AA20" location="'Sheet3 (2)'!A1" display="BACK" xr:uid="{7DCE0CFA-2C31-444E-B605-A9D6D9667738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22"/>
  <sheetViews>
    <sheetView topLeftCell="B5" zoomScale="110" zoomScaleNormal="110" workbookViewId="0">
      <selection activeCell="B18" sqref="B18:B22"/>
    </sheetView>
  </sheetViews>
  <sheetFormatPr defaultRowHeight="14.4" x14ac:dyDescent="0.3"/>
  <cols>
    <col min="1" max="1" width="100.33203125" customWidth="1"/>
    <col min="2" max="2" width="64.88671875" customWidth="1"/>
  </cols>
  <sheetData>
    <row r="1" spans="1:2" x14ac:dyDescent="0.3">
      <c r="A1" t="s">
        <v>75</v>
      </c>
    </row>
    <row r="2" spans="1:2" x14ac:dyDescent="0.3">
      <c r="A2" t="s">
        <v>76</v>
      </c>
    </row>
    <row r="3" spans="1:2" x14ac:dyDescent="0.3">
      <c r="A3" t="s">
        <v>77</v>
      </c>
    </row>
    <row r="4" spans="1:2" x14ac:dyDescent="0.3">
      <c r="A4" t="s">
        <v>78</v>
      </c>
    </row>
    <row r="6" spans="1:2" x14ac:dyDescent="0.3">
      <c r="A6" t="s">
        <v>79</v>
      </c>
    </row>
    <row r="7" spans="1:2" x14ac:dyDescent="0.3">
      <c r="A7" t="s">
        <v>80</v>
      </c>
    </row>
    <row r="8" spans="1:2" x14ac:dyDescent="0.3">
      <c r="A8" t="s">
        <v>81</v>
      </c>
    </row>
    <row r="9" spans="1:2" x14ac:dyDescent="0.3">
      <c r="A9" t="s">
        <v>82</v>
      </c>
    </row>
    <row r="11" spans="1:2" x14ac:dyDescent="0.3">
      <c r="A11" t="s">
        <v>85</v>
      </c>
    </row>
    <row r="12" spans="1:2" x14ac:dyDescent="0.3">
      <c r="A12" t="s">
        <v>112</v>
      </c>
      <c r="B12" t="s">
        <v>113</v>
      </c>
    </row>
    <row r="13" spans="1:2" x14ac:dyDescent="0.3">
      <c r="A13" t="s">
        <v>114</v>
      </c>
      <c r="B13" t="s">
        <v>115</v>
      </c>
    </row>
    <row r="14" spans="1:2" x14ac:dyDescent="0.3">
      <c r="A14" t="s">
        <v>116</v>
      </c>
      <c r="B14" t="s">
        <v>117</v>
      </c>
    </row>
    <row r="15" spans="1:2" x14ac:dyDescent="0.3">
      <c r="A15" t="s">
        <v>118</v>
      </c>
      <c r="B15" t="s">
        <v>119</v>
      </c>
    </row>
    <row r="16" spans="1:2" x14ac:dyDescent="0.3">
      <c r="A16" t="s">
        <v>120</v>
      </c>
      <c r="B16" t="s">
        <v>121</v>
      </c>
    </row>
    <row r="17" spans="1:2" x14ac:dyDescent="0.3">
      <c r="A17" t="s">
        <v>122</v>
      </c>
      <c r="B17" t="s">
        <v>123</v>
      </c>
    </row>
    <row r="18" spans="1:2" x14ac:dyDescent="0.3">
      <c r="A18" t="s">
        <v>124</v>
      </c>
      <c r="B18" t="s">
        <v>125</v>
      </c>
    </row>
    <row r="19" spans="1:2" x14ac:dyDescent="0.3">
      <c r="A19" t="s">
        <v>126</v>
      </c>
      <c r="B19" t="s">
        <v>127</v>
      </c>
    </row>
    <row r="20" spans="1:2" x14ac:dyDescent="0.3">
      <c r="A20" t="s">
        <v>128</v>
      </c>
      <c r="B20" t="s">
        <v>129</v>
      </c>
    </row>
    <row r="21" spans="1:2" x14ac:dyDescent="0.3">
      <c r="A21" t="s">
        <v>130</v>
      </c>
      <c r="B21" t="s">
        <v>131</v>
      </c>
    </row>
    <row r="22" spans="1:2" x14ac:dyDescent="0.3">
      <c r="A22" t="s">
        <v>132</v>
      </c>
      <c r="B22" t="s">
        <v>133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9BFFC-CC81-4E60-8E78-06D1DF90FAF1}">
  <dimension ref="A1:O240"/>
  <sheetViews>
    <sheetView showRowColHeaders="0" zoomScale="130" zoomScaleNormal="130" workbookViewId="0">
      <selection activeCell="N1" sqref="N1:N1048576"/>
    </sheetView>
  </sheetViews>
  <sheetFormatPr defaultColWidth="0" defaultRowHeight="14.4" zeroHeight="1" x14ac:dyDescent="0.3"/>
  <cols>
    <col min="1" max="13" width="8.77734375" customWidth="1"/>
    <col min="14" max="14" width="8.77734375" style="330" customWidth="1"/>
    <col min="15" max="15" width="8.77734375" style="331" customWidth="1"/>
    <col min="16" max="16384" width="8.77734375" hidden="1"/>
  </cols>
  <sheetData>
    <row r="1" spans="1:15" x14ac:dyDescent="0.3">
      <c r="A1" s="8"/>
      <c r="N1" s="330" t="s">
        <v>334</v>
      </c>
      <c r="O1" s="331" t="s">
        <v>335</v>
      </c>
    </row>
    <row r="2" spans="1:15" x14ac:dyDescent="0.3"/>
    <row r="3" spans="1:15" x14ac:dyDescent="0.3"/>
    <row r="4" spans="1:15" x14ac:dyDescent="0.3"/>
    <row r="5" spans="1:15" x14ac:dyDescent="0.3"/>
    <row r="6" spans="1:15" x14ac:dyDescent="0.3"/>
    <row r="7" spans="1:15" x14ac:dyDescent="0.3"/>
    <row r="8" spans="1:15" x14ac:dyDescent="0.3"/>
    <row r="9" spans="1:15" x14ac:dyDescent="0.3"/>
    <row r="10" spans="1:15" x14ac:dyDescent="0.3"/>
    <row r="11" spans="1:15" x14ac:dyDescent="0.3"/>
    <row r="12" spans="1:15" x14ac:dyDescent="0.3"/>
    <row r="13" spans="1:15" x14ac:dyDescent="0.3"/>
    <row r="14" spans="1:15" x14ac:dyDescent="0.3"/>
    <row r="15" spans="1:15" x14ac:dyDescent="0.3"/>
    <row r="16" spans="1:15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x14ac:dyDescent="0.3"/>
    <row r="88" x14ac:dyDescent="0.3"/>
    <row r="89" x14ac:dyDescent="0.3"/>
    <row r="90" x14ac:dyDescent="0.3"/>
    <row r="91" x14ac:dyDescent="0.3"/>
    <row r="92" x14ac:dyDescent="0.3"/>
    <row r="93" x14ac:dyDescent="0.3"/>
    <row r="94" x14ac:dyDescent="0.3"/>
    <row r="95" x14ac:dyDescent="0.3"/>
    <row r="96" x14ac:dyDescent="0.3"/>
    <row r="97" x14ac:dyDescent="0.3"/>
    <row r="98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x14ac:dyDescent="0.3"/>
    <row r="115" x14ac:dyDescent="0.3"/>
    <row r="116" x14ac:dyDescent="0.3"/>
    <row r="117" x14ac:dyDescent="0.3"/>
    <row r="118" x14ac:dyDescent="0.3"/>
    <row r="119" x14ac:dyDescent="0.3"/>
    <row r="120" x14ac:dyDescent="0.3"/>
    <row r="121" x14ac:dyDescent="0.3"/>
    <row r="122" x14ac:dyDescent="0.3"/>
    <row r="123" x14ac:dyDescent="0.3"/>
    <row r="124" x14ac:dyDescent="0.3"/>
    <row r="125" x14ac:dyDescent="0.3"/>
    <row r="126" x14ac:dyDescent="0.3"/>
    <row r="127" x14ac:dyDescent="0.3"/>
    <row r="128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  <row r="144" x14ac:dyDescent="0.3"/>
    <row r="145" x14ac:dyDescent="0.3"/>
    <row r="146" x14ac:dyDescent="0.3"/>
    <row r="147" x14ac:dyDescent="0.3"/>
    <row r="148" x14ac:dyDescent="0.3"/>
    <row r="149" x14ac:dyDescent="0.3"/>
    <row r="150" x14ac:dyDescent="0.3"/>
    <row r="151" x14ac:dyDescent="0.3"/>
    <row r="152" x14ac:dyDescent="0.3"/>
    <row r="153" x14ac:dyDescent="0.3"/>
    <row r="154" x14ac:dyDescent="0.3"/>
    <row r="155" x14ac:dyDescent="0.3"/>
    <row r="156" x14ac:dyDescent="0.3"/>
    <row r="157" x14ac:dyDescent="0.3"/>
    <row r="158" x14ac:dyDescent="0.3"/>
    <row r="159" x14ac:dyDescent="0.3"/>
    <row r="160" x14ac:dyDescent="0.3"/>
    <row r="161" x14ac:dyDescent="0.3"/>
    <row r="162" x14ac:dyDescent="0.3"/>
    <row r="163" x14ac:dyDescent="0.3"/>
    <row r="164" x14ac:dyDescent="0.3"/>
    <row r="165" x14ac:dyDescent="0.3"/>
    <row r="166" x14ac:dyDescent="0.3"/>
    <row r="167" x14ac:dyDescent="0.3"/>
    <row r="168" x14ac:dyDescent="0.3"/>
    <row r="169" x14ac:dyDescent="0.3"/>
    <row r="170" x14ac:dyDescent="0.3"/>
    <row r="171" x14ac:dyDescent="0.3"/>
    <row r="172" x14ac:dyDescent="0.3"/>
    <row r="173" x14ac:dyDescent="0.3"/>
    <row r="174" x14ac:dyDescent="0.3"/>
    <row r="175" x14ac:dyDescent="0.3"/>
    <row r="176" x14ac:dyDescent="0.3"/>
    <row r="177" x14ac:dyDescent="0.3"/>
    <row r="178" x14ac:dyDescent="0.3"/>
    <row r="179" x14ac:dyDescent="0.3"/>
    <row r="180" x14ac:dyDescent="0.3"/>
    <row r="181" x14ac:dyDescent="0.3"/>
    <row r="182" x14ac:dyDescent="0.3"/>
    <row r="183" x14ac:dyDescent="0.3"/>
    <row r="184" x14ac:dyDescent="0.3"/>
    <row r="185" x14ac:dyDescent="0.3"/>
    <row r="186" x14ac:dyDescent="0.3"/>
    <row r="187" x14ac:dyDescent="0.3"/>
    <row r="188" x14ac:dyDescent="0.3"/>
    <row r="189" x14ac:dyDescent="0.3"/>
    <row r="190" x14ac:dyDescent="0.3"/>
    <row r="191" x14ac:dyDescent="0.3"/>
    <row r="192" x14ac:dyDescent="0.3"/>
    <row r="193" x14ac:dyDescent="0.3"/>
    <row r="194" x14ac:dyDescent="0.3"/>
    <row r="195" x14ac:dyDescent="0.3"/>
    <row r="196" x14ac:dyDescent="0.3"/>
    <row r="197" x14ac:dyDescent="0.3"/>
    <row r="198" x14ac:dyDescent="0.3"/>
    <row r="199" x14ac:dyDescent="0.3"/>
    <row r="200" x14ac:dyDescent="0.3"/>
    <row r="201" x14ac:dyDescent="0.3"/>
    <row r="202" x14ac:dyDescent="0.3"/>
    <row r="203" x14ac:dyDescent="0.3"/>
    <row r="204" x14ac:dyDescent="0.3"/>
    <row r="205" x14ac:dyDescent="0.3"/>
    <row r="206" x14ac:dyDescent="0.3"/>
    <row r="207" x14ac:dyDescent="0.3"/>
    <row r="208" x14ac:dyDescent="0.3"/>
    <row r="209" x14ac:dyDescent="0.3"/>
    <row r="210" x14ac:dyDescent="0.3"/>
    <row r="211" x14ac:dyDescent="0.3"/>
    <row r="212" x14ac:dyDescent="0.3"/>
    <row r="213" x14ac:dyDescent="0.3"/>
    <row r="214" x14ac:dyDescent="0.3"/>
    <row r="215" x14ac:dyDescent="0.3"/>
    <row r="216" x14ac:dyDescent="0.3"/>
    <row r="217" x14ac:dyDescent="0.3"/>
    <row r="218" x14ac:dyDescent="0.3"/>
    <row r="219" x14ac:dyDescent="0.3"/>
    <row r="220" x14ac:dyDescent="0.3"/>
    <row r="221" x14ac:dyDescent="0.3"/>
    <row r="222" x14ac:dyDescent="0.3"/>
    <row r="223" x14ac:dyDescent="0.3"/>
    <row r="224" x14ac:dyDescent="0.3"/>
    <row r="225" x14ac:dyDescent="0.3"/>
    <row r="226" x14ac:dyDescent="0.3"/>
    <row r="227" x14ac:dyDescent="0.3"/>
    <row r="228" x14ac:dyDescent="0.3"/>
    <row r="229" x14ac:dyDescent="0.3"/>
    <row r="230" x14ac:dyDescent="0.3"/>
    <row r="231" x14ac:dyDescent="0.3"/>
    <row r="232" x14ac:dyDescent="0.3"/>
    <row r="233" x14ac:dyDescent="0.3"/>
    <row r="234" x14ac:dyDescent="0.3"/>
    <row r="235" x14ac:dyDescent="0.3"/>
    <row r="236" x14ac:dyDescent="0.3"/>
    <row r="237" x14ac:dyDescent="0.3"/>
    <row r="238" x14ac:dyDescent="0.3"/>
    <row r="239" x14ac:dyDescent="0.3"/>
    <row r="240" x14ac:dyDescent="0.3"/>
  </sheetData>
  <sheetProtection sheet="1" objects="1" scenarios="1" selectLockedCells="1"/>
  <mergeCells count="2">
    <mergeCell ref="N1:N1048576"/>
    <mergeCell ref="O1:O1048576"/>
  </mergeCells>
  <hyperlinks>
    <hyperlink ref="N1:N1048576" location="Sheet2!C14" display="BACK TO RIGHT EYE" xr:uid="{9B9F5E90-89B9-49C1-AECD-DCAEEDB03DE9}"/>
    <hyperlink ref="O1:O1048576" location="Sheet3!C14" display="BACK TO LEFT EYE" xr:uid="{127A39EE-1300-4315-AE01-564142FE1FAB}"/>
  </hyperlink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Z115"/>
  <sheetViews>
    <sheetView showRowColHeaders="0" topLeftCell="F1" zoomScale="120" zoomScaleNormal="120" workbookViewId="0">
      <selection activeCell="I7" sqref="I7"/>
    </sheetView>
  </sheetViews>
  <sheetFormatPr defaultColWidth="8.77734375" defaultRowHeight="14.4" x14ac:dyDescent="0.3"/>
  <cols>
    <col min="1" max="1" width="4.88671875" style="8" customWidth="1"/>
    <col min="2" max="4" width="8.77734375" style="8" customWidth="1"/>
    <col min="5" max="5" width="18.44140625" style="8" customWidth="1"/>
    <col min="6" max="6" width="8.77734375" style="8" customWidth="1"/>
    <col min="7" max="7" width="32.77734375" style="8" customWidth="1"/>
    <col min="8" max="11" width="8.77734375" style="8" customWidth="1"/>
    <col min="12" max="12" width="12" style="8" customWidth="1"/>
    <col min="13" max="14" width="8.77734375" style="8" customWidth="1"/>
    <col min="15" max="16384" width="8.77734375" style="8"/>
  </cols>
  <sheetData>
    <row r="4" spans="1:21" x14ac:dyDescent="0.3">
      <c r="A4" s="22"/>
      <c r="B4" s="360" t="s">
        <v>58</v>
      </c>
      <c r="C4" s="360"/>
      <c r="D4" s="365" t="s">
        <v>231</v>
      </c>
      <c r="E4" s="365" t="s">
        <v>232</v>
      </c>
      <c r="F4" s="361" t="s">
        <v>164</v>
      </c>
      <c r="G4" s="19" t="s">
        <v>66</v>
      </c>
      <c r="H4" s="19" t="s">
        <v>18</v>
      </c>
      <c r="I4" s="19" t="s">
        <v>19</v>
      </c>
      <c r="J4" s="22"/>
      <c r="K4" s="22"/>
      <c r="L4" s="52" t="s">
        <v>165</v>
      </c>
      <c r="M4" s="351"/>
      <c r="N4" s="351"/>
    </row>
    <row r="5" spans="1:21" x14ac:dyDescent="0.3">
      <c r="A5" s="22"/>
      <c r="B5" s="19" t="s">
        <v>53</v>
      </c>
      <c r="C5" s="25">
        <f>PRIMARY!H19</f>
        <v>0</v>
      </c>
      <c r="D5" s="366"/>
      <c r="E5" s="366"/>
      <c r="F5" s="361"/>
      <c r="G5" s="76">
        <f>PRIMARY!E9</f>
        <v>0</v>
      </c>
      <c r="H5" s="76">
        <f>PRIMARY!F9</f>
        <v>0</v>
      </c>
      <c r="I5" s="76">
        <f>PRIMARY!G9</f>
        <v>0</v>
      </c>
      <c r="J5" s="22"/>
      <c r="K5" s="22"/>
      <c r="L5" s="53" t="e">
        <f>ROUND(P14,2)</f>
        <v>#DIV/0!</v>
      </c>
      <c r="M5" s="351"/>
      <c r="N5" s="351"/>
      <c r="T5" s="8" t="s">
        <v>274</v>
      </c>
    </row>
    <row r="6" spans="1:21" x14ac:dyDescent="0.3">
      <c r="A6" s="22"/>
      <c r="B6" s="20" t="s">
        <v>52</v>
      </c>
      <c r="C6" s="28">
        <f>PRIMARY!F19</f>
        <v>0</v>
      </c>
      <c r="D6" s="366"/>
      <c r="E6" s="366"/>
      <c r="F6" s="22"/>
      <c r="G6" s="85" t="s">
        <v>166</v>
      </c>
      <c r="H6" s="86">
        <f>PRIMARY!E17-PRIMARY!G17</f>
        <v>0</v>
      </c>
      <c r="I6" s="86">
        <f>PRIMARY!F17</f>
        <v>0</v>
      </c>
      <c r="J6" s="45"/>
      <c r="K6" s="45"/>
      <c r="L6" s="45"/>
      <c r="M6" s="22"/>
      <c r="N6" s="22"/>
      <c r="T6" s="8" t="s">
        <v>275</v>
      </c>
      <c r="U6" s="8" t="s">
        <v>276</v>
      </c>
    </row>
    <row r="7" spans="1:21" ht="14.7" customHeight="1" x14ac:dyDescent="0.3">
      <c r="A7" s="22"/>
      <c r="B7" s="21"/>
      <c r="C7" s="82" t="s">
        <v>167</v>
      </c>
      <c r="D7" s="367"/>
      <c r="E7" s="367"/>
      <c r="F7" s="22"/>
      <c r="G7" s="51" t="s">
        <v>168</v>
      </c>
      <c r="H7" s="87">
        <f>Sheet2!R35</f>
        <v>0</v>
      </c>
      <c r="I7" s="87">
        <f>Sheet2!S35</f>
        <v>0</v>
      </c>
      <c r="J7" s="357" t="s">
        <v>247</v>
      </c>
      <c r="K7" s="357"/>
      <c r="L7" s="358" t="e">
        <f>ABS(E102)</f>
        <v>#DIV/0!</v>
      </c>
      <c r="M7" s="22"/>
      <c r="N7" s="22"/>
      <c r="T7" s="8">
        <f>ROUNDUP(E26, 0)</f>
        <v>0</v>
      </c>
    </row>
    <row r="8" spans="1:21" x14ac:dyDescent="0.3">
      <c r="A8" s="22"/>
      <c r="B8" s="96" t="s">
        <v>169</v>
      </c>
      <c r="C8" s="98">
        <f>Sheet2!C14</f>
        <v>0</v>
      </c>
      <c r="D8" s="98">
        <f>Sheet2!D14</f>
        <v>0</v>
      </c>
      <c r="E8" s="98">
        <f>Sheet2!E14</f>
        <v>0</v>
      </c>
      <c r="F8" s="22"/>
      <c r="G8" s="85" t="s">
        <v>253</v>
      </c>
      <c r="H8" s="86">
        <f>PRIMARY!G18</f>
        <v>0</v>
      </c>
      <c r="I8" s="86">
        <f>PRIMARY!H18</f>
        <v>0</v>
      </c>
      <c r="J8" s="357"/>
      <c r="K8" s="357"/>
      <c r="L8" s="359"/>
      <c r="M8" s="22"/>
      <c r="N8" s="22"/>
      <c r="T8" s="8" t="b">
        <f>IF(T7=1, "0.1", IF(T7=2, "0.2", IF(T7=3, "0.25", IF(T7&gt;3, "0.3"))))</f>
        <v>0</v>
      </c>
      <c r="U8" s="8" t="str">
        <f>IF(T7=1, "0.1", "0.2")</f>
        <v>0.2</v>
      </c>
    </row>
    <row r="9" spans="1:21" x14ac:dyDescent="0.3">
      <c r="A9" s="22"/>
      <c r="B9" s="96" t="s">
        <v>170</v>
      </c>
      <c r="C9" s="98">
        <f>Sheet2!C15</f>
        <v>0</v>
      </c>
      <c r="D9" s="98">
        <f>Sheet2!D15</f>
        <v>0</v>
      </c>
      <c r="E9" s="98">
        <f>Sheet2!E15</f>
        <v>0</v>
      </c>
      <c r="F9" s="22"/>
      <c r="G9" s="83" t="s">
        <v>171</v>
      </c>
      <c r="H9" s="84">
        <f>D40</f>
        <v>0</v>
      </c>
      <c r="I9" s="84" t="e">
        <f>E42</f>
        <v>#DIV/0!</v>
      </c>
      <c r="J9" s="22"/>
      <c r="K9" s="46"/>
      <c r="L9" s="45"/>
      <c r="M9" s="22"/>
      <c r="N9" s="22"/>
    </row>
    <row r="10" spans="1:21" x14ac:dyDescent="0.3">
      <c r="A10" s="22"/>
      <c r="B10" s="96" t="s">
        <v>265</v>
      </c>
      <c r="C10" s="98">
        <f>Sheet2!C16</f>
        <v>0</v>
      </c>
      <c r="D10" s="98">
        <f>Sheet2!D16</f>
        <v>0</v>
      </c>
      <c r="E10" s="98">
        <f>Sheet2!E16</f>
        <v>0</v>
      </c>
      <c r="F10" s="22"/>
      <c r="G10" s="83" t="s">
        <v>245</v>
      </c>
      <c r="H10" s="84">
        <f>-D35</f>
        <v>0</v>
      </c>
      <c r="I10" s="84" t="e">
        <f>E37</f>
        <v>#DIV/0!</v>
      </c>
      <c r="J10" s="48"/>
      <c r="K10" s="46"/>
      <c r="L10" s="45"/>
      <c r="M10" s="22"/>
      <c r="N10" s="22"/>
      <c r="T10" s="8" t="s">
        <v>277</v>
      </c>
      <c r="U10" s="8" t="s">
        <v>19</v>
      </c>
    </row>
    <row r="11" spans="1:21" x14ac:dyDescent="0.3">
      <c r="A11" s="22"/>
      <c r="B11" s="96" t="s">
        <v>173</v>
      </c>
      <c r="C11" s="98">
        <f>Sheet2!C17</f>
        <v>0</v>
      </c>
      <c r="D11" s="98">
        <f>Sheet2!D17</f>
        <v>0</v>
      </c>
      <c r="E11" s="98">
        <f>Sheet2!E17</f>
        <v>0</v>
      </c>
      <c r="F11" s="31"/>
      <c r="G11" s="83" t="s">
        <v>246</v>
      </c>
      <c r="H11" s="84" t="e">
        <f>R25</f>
        <v>#DIV/0!</v>
      </c>
      <c r="I11" s="84" t="e">
        <f>R27</f>
        <v>#DIV/0!</v>
      </c>
      <c r="J11" s="363"/>
      <c r="K11" s="46"/>
      <c r="L11" s="45"/>
      <c r="M11" s="22"/>
      <c r="N11" s="22"/>
      <c r="T11" s="8" t="str">
        <f>IF(AND(VALUE(I8)&lt;160, VALUE(I8)&gt;20),"ATR","WTR")</f>
        <v>WTR</v>
      </c>
    </row>
    <row r="12" spans="1:21" x14ac:dyDescent="0.3">
      <c r="A12" s="22"/>
      <c r="B12" s="96" t="s">
        <v>174</v>
      </c>
      <c r="C12" s="98">
        <f>Sheet2!C18</f>
        <v>0</v>
      </c>
      <c r="D12" s="98">
        <f>Sheet2!D18</f>
        <v>0</v>
      </c>
      <c r="E12" s="98">
        <f>Sheet2!E18</f>
        <v>0</v>
      </c>
      <c r="F12" s="45"/>
      <c r="G12" s="54" t="s">
        <v>175</v>
      </c>
      <c r="H12" s="52" t="e">
        <f>-J46</f>
        <v>#DIV/0!</v>
      </c>
      <c r="I12" s="52" t="e">
        <f>IF(C14=1, G16, IF(C14=2, G17, G18))</f>
        <v>#DIV/0!</v>
      </c>
      <c r="J12" s="364"/>
      <c r="K12" s="46"/>
      <c r="L12" s="45"/>
      <c r="M12" s="22"/>
      <c r="N12" s="22"/>
      <c r="T12" s="8" t="b">
        <f>IF(T11="ATR", U8, T8)</f>
        <v>0</v>
      </c>
    </row>
    <row r="13" spans="1:21" x14ac:dyDescent="0.3">
      <c r="A13" s="22"/>
      <c r="B13" s="96" t="s">
        <v>176</v>
      </c>
      <c r="C13" s="98">
        <f>Sheet2!C19</f>
        <v>0</v>
      </c>
      <c r="D13" s="98">
        <f>Sheet2!D19</f>
        <v>0</v>
      </c>
      <c r="E13" s="99">
        <f>Sheet2!E19</f>
        <v>0</v>
      </c>
      <c r="F13" s="22"/>
      <c r="G13" s="89"/>
      <c r="H13" s="362"/>
      <c r="I13" s="362"/>
      <c r="J13" s="362"/>
      <c r="K13" s="362"/>
      <c r="L13" s="362"/>
      <c r="M13" s="22"/>
      <c r="N13" s="22"/>
      <c r="T13" s="8">
        <f>T12*-1</f>
        <v>0</v>
      </c>
      <c r="U13" s="8">
        <f>IF(T11="ATR", 90, I8)</f>
        <v>0</v>
      </c>
    </row>
    <row r="14" spans="1:21" x14ac:dyDescent="0.3">
      <c r="A14" s="22"/>
      <c r="B14" s="45"/>
      <c r="C14" s="92"/>
      <c r="D14" s="22"/>
      <c r="E14" s="80" t="s">
        <v>197</v>
      </c>
      <c r="F14" s="49">
        <v>1</v>
      </c>
      <c r="G14" s="356" t="s">
        <v>198</v>
      </c>
      <c r="H14" s="356"/>
      <c r="I14" s="356"/>
      <c r="J14" s="356"/>
      <c r="K14" s="356"/>
      <c r="L14" s="356"/>
      <c r="M14" t="e">
        <f>ABS(H12)</f>
        <v>#DIV/0!</v>
      </c>
      <c r="N14" t="e">
        <f>(M14-J16)/2</f>
        <v>#DIV/0!</v>
      </c>
      <c r="O14" s="8" t="e">
        <f>G5+N14</f>
        <v>#DIV/0!</v>
      </c>
      <c r="P14" s="8" t="e">
        <f>O14-M15</f>
        <v>#DIV/0!</v>
      </c>
      <c r="T14" s="8">
        <f>IF(T11="ATR", T12, T13)</f>
        <v>0</v>
      </c>
    </row>
    <row r="15" spans="1:21" x14ac:dyDescent="0.3">
      <c r="A15" s="22"/>
      <c r="J15" s="29" t="s">
        <v>177</v>
      </c>
      <c r="M15" s="8">
        <f>(C5-C6)*0.02</f>
        <v>0</v>
      </c>
    </row>
    <row r="16" spans="1:21" x14ac:dyDescent="0.3">
      <c r="A16" s="22"/>
      <c r="F16" s="8">
        <v>1</v>
      </c>
      <c r="G16" s="8">
        <f>I8</f>
        <v>0</v>
      </c>
      <c r="H16" s="8">
        <f>ABS(H6)</f>
        <v>0</v>
      </c>
      <c r="J16" s="8">
        <f>ABS(H5)</f>
        <v>0</v>
      </c>
    </row>
    <row r="17" spans="1:20" x14ac:dyDescent="0.3">
      <c r="A17" s="22"/>
      <c r="F17" s="8">
        <v>2</v>
      </c>
      <c r="G17" s="33">
        <f>I5</f>
        <v>0</v>
      </c>
      <c r="H17" s="8">
        <f>ABS(H7)</f>
        <v>0</v>
      </c>
    </row>
    <row r="18" spans="1:20" x14ac:dyDescent="0.3">
      <c r="A18" s="22"/>
      <c r="D18" s="8">
        <v>120</v>
      </c>
      <c r="F18" s="8">
        <v>3</v>
      </c>
      <c r="G18" s="8" t="e">
        <f>K57</f>
        <v>#DIV/0!</v>
      </c>
    </row>
    <row r="19" spans="1:20" x14ac:dyDescent="0.3">
      <c r="A19" s="22"/>
      <c r="D19" s="8">
        <v>110</v>
      </c>
      <c r="E19" s="8" t="s">
        <v>178</v>
      </c>
      <c r="G19" s="8" t="s">
        <v>179</v>
      </c>
      <c r="H19" s="8" t="s">
        <v>180</v>
      </c>
      <c r="I19" s="8" t="s">
        <v>181</v>
      </c>
      <c r="J19" s="8" t="s">
        <v>182</v>
      </c>
      <c r="N19" s="8" t="s">
        <v>179</v>
      </c>
      <c r="O19" s="8" t="s">
        <v>180</v>
      </c>
      <c r="P19" s="8" t="s">
        <v>181</v>
      </c>
      <c r="Q19" s="8" t="s">
        <v>182</v>
      </c>
    </row>
    <row r="20" spans="1:20" x14ac:dyDescent="0.3">
      <c r="A20" s="22"/>
      <c r="B20" s="33">
        <f>(C5/2.2)*E107/100</f>
        <v>0</v>
      </c>
      <c r="C20" s="8">
        <f t="shared" ref="C20:C25" si="0">B20/15</f>
        <v>0</v>
      </c>
      <c r="D20" s="8">
        <v>100</v>
      </c>
      <c r="E20" s="8">
        <f t="shared" ref="E20:E25" si="1">ROUND(C20,2)</f>
        <v>0</v>
      </c>
      <c r="F20" s="8">
        <f t="shared" ref="F20:F25" si="2">C8</f>
        <v>0</v>
      </c>
      <c r="G20" s="8">
        <f>F20*2</f>
        <v>0</v>
      </c>
      <c r="H20" s="8">
        <f>RADIANS(G20)</f>
        <v>0</v>
      </c>
      <c r="I20" s="8">
        <f>E20*(COS(H20))</f>
        <v>0</v>
      </c>
      <c r="J20" s="8">
        <f>E20*(SIN(H20))</f>
        <v>0</v>
      </c>
      <c r="K20" s="8" t="s">
        <v>183</v>
      </c>
      <c r="L20" s="8">
        <f>J16</f>
        <v>0</v>
      </c>
      <c r="M20" s="8">
        <f>I5</f>
        <v>0</v>
      </c>
      <c r="N20" s="8">
        <f>M20*2</f>
        <v>0</v>
      </c>
      <c r="O20" s="8">
        <f>RADIANS(N20)</f>
        <v>0</v>
      </c>
      <c r="P20" s="8">
        <f>L20*(COS(O20))</f>
        <v>0</v>
      </c>
      <c r="Q20" s="8">
        <f>L20*(SIN(O20))</f>
        <v>0</v>
      </c>
    </row>
    <row r="21" spans="1:20" x14ac:dyDescent="0.3">
      <c r="A21" s="22"/>
      <c r="B21" s="33">
        <f>(C5/2.2)*E108/100</f>
        <v>0</v>
      </c>
      <c r="C21" s="8">
        <f t="shared" si="0"/>
        <v>0</v>
      </c>
      <c r="D21" s="8">
        <v>90</v>
      </c>
      <c r="E21" s="8">
        <f t="shared" si="1"/>
        <v>0</v>
      </c>
      <c r="F21" s="8">
        <f t="shared" si="2"/>
        <v>0</v>
      </c>
      <c r="G21" s="8">
        <f t="shared" ref="G21:G27" si="3">F21*2</f>
        <v>0</v>
      </c>
      <c r="H21" s="8">
        <f t="shared" ref="H21:H27" si="4">RADIANS(G21)</f>
        <v>0</v>
      </c>
      <c r="I21" s="8">
        <f t="shared" ref="I21:I27" si="5">E21*(COS(H21))</f>
        <v>0</v>
      </c>
      <c r="J21" s="8">
        <f t="shared" ref="J21:J27" si="6">E21*(SIN(H21))</f>
        <v>0</v>
      </c>
      <c r="K21" s="8" t="s">
        <v>184</v>
      </c>
      <c r="L21" s="8">
        <f>-I35</f>
        <v>0</v>
      </c>
      <c r="M21" s="8" t="e">
        <f>J37</f>
        <v>#DIV/0!</v>
      </c>
      <c r="N21" s="8" t="e">
        <f>M21*2</f>
        <v>#DIV/0!</v>
      </c>
      <c r="O21" s="8" t="e">
        <f>RADIANS(N21)</f>
        <v>#DIV/0!</v>
      </c>
      <c r="P21" s="8" t="e">
        <f>L21*(COS(O21))</f>
        <v>#DIV/0!</v>
      </c>
      <c r="Q21" s="8" t="e">
        <f>L21*(SIN(O21))</f>
        <v>#DIV/0!</v>
      </c>
    </row>
    <row r="22" spans="1:20" x14ac:dyDescent="0.3">
      <c r="A22" s="22"/>
      <c r="B22" s="33">
        <f>(C5/2.2)*E109/100</f>
        <v>0</v>
      </c>
      <c r="C22" s="8">
        <f t="shared" si="0"/>
        <v>0</v>
      </c>
      <c r="D22" s="8">
        <v>80</v>
      </c>
      <c r="E22" s="8">
        <f t="shared" si="1"/>
        <v>0</v>
      </c>
      <c r="F22" s="8">
        <f t="shared" si="2"/>
        <v>0</v>
      </c>
      <c r="G22" s="8">
        <f t="shared" si="3"/>
        <v>0</v>
      </c>
      <c r="H22" s="8">
        <f t="shared" si="4"/>
        <v>0</v>
      </c>
      <c r="I22" s="8">
        <f t="shared" si="5"/>
        <v>0</v>
      </c>
      <c r="J22" s="8">
        <f t="shared" si="6"/>
        <v>0</v>
      </c>
    </row>
    <row r="23" spans="1:20" x14ac:dyDescent="0.3">
      <c r="A23" s="22"/>
      <c r="B23" s="33">
        <f>(C5/2.2)*E110/100</f>
        <v>0</v>
      </c>
      <c r="C23" s="8">
        <f t="shared" si="0"/>
        <v>0</v>
      </c>
      <c r="D23" s="8">
        <v>70</v>
      </c>
      <c r="E23" s="8">
        <f t="shared" si="1"/>
        <v>0</v>
      </c>
      <c r="F23" s="8">
        <f t="shared" si="2"/>
        <v>0</v>
      </c>
      <c r="G23" s="8">
        <f t="shared" si="3"/>
        <v>0</v>
      </c>
      <c r="H23" s="8">
        <f t="shared" si="4"/>
        <v>0</v>
      </c>
      <c r="I23" s="8">
        <f t="shared" si="5"/>
        <v>0</v>
      </c>
      <c r="J23" s="8">
        <f t="shared" si="6"/>
        <v>0</v>
      </c>
      <c r="P23" s="8" t="e">
        <f>SUM(P20:P22)</f>
        <v>#DIV/0!</v>
      </c>
      <c r="Q23" s="8" t="e">
        <f>SUM(Q20:Q22)</f>
        <v>#DIV/0!</v>
      </c>
    </row>
    <row r="24" spans="1:20" x14ac:dyDescent="0.3">
      <c r="A24" s="22"/>
      <c r="B24" s="33">
        <f>(C5/2.2)*E111/100</f>
        <v>0</v>
      </c>
      <c r="C24" s="8">
        <f t="shared" si="0"/>
        <v>0</v>
      </c>
      <c r="D24" s="8">
        <v>60</v>
      </c>
      <c r="E24" s="8">
        <f t="shared" si="1"/>
        <v>0</v>
      </c>
      <c r="F24" s="8">
        <f t="shared" si="2"/>
        <v>0</v>
      </c>
      <c r="G24" s="8">
        <f t="shared" si="3"/>
        <v>0</v>
      </c>
      <c r="H24" s="8">
        <f t="shared" si="4"/>
        <v>0</v>
      </c>
      <c r="I24" s="8">
        <f t="shared" si="5"/>
        <v>0</v>
      </c>
      <c r="J24" s="8">
        <f t="shared" si="6"/>
        <v>0</v>
      </c>
      <c r="O24" s="18"/>
      <c r="P24" s="18"/>
      <c r="Q24" s="18"/>
      <c r="R24" s="18"/>
      <c r="S24" s="18"/>
      <c r="T24" s="18"/>
    </row>
    <row r="25" spans="1:20" x14ac:dyDescent="0.3">
      <c r="A25" s="22"/>
      <c r="B25" s="33">
        <f>(C5/2.2)*E112/100</f>
        <v>0</v>
      </c>
      <c r="C25" s="8">
        <f t="shared" si="0"/>
        <v>0</v>
      </c>
      <c r="D25" s="8">
        <v>50</v>
      </c>
      <c r="E25" s="8">
        <f t="shared" si="1"/>
        <v>0</v>
      </c>
      <c r="F25" s="8">
        <f t="shared" si="2"/>
        <v>0</v>
      </c>
      <c r="G25" s="8">
        <f t="shared" si="3"/>
        <v>0</v>
      </c>
      <c r="H25" s="8">
        <f t="shared" si="4"/>
        <v>0</v>
      </c>
      <c r="I25" s="8">
        <f t="shared" si="5"/>
        <v>0</v>
      </c>
      <c r="J25" s="8">
        <f t="shared" si="6"/>
        <v>0</v>
      </c>
      <c r="O25" s="18" t="s">
        <v>178</v>
      </c>
      <c r="P25" s="18" t="e">
        <f>SQRT(P23^2+Q23^2)</f>
        <v>#DIV/0!</v>
      </c>
      <c r="Q25" s="18"/>
      <c r="R25" s="18" t="e">
        <f>ROUND(P25,2)</f>
        <v>#DIV/0!</v>
      </c>
      <c r="S25" s="18" t="e">
        <f>1/2*R25</f>
        <v>#DIV/0!</v>
      </c>
      <c r="T25" s="18" t="e">
        <f>ROUND(S25,2)</f>
        <v>#DIV/0!</v>
      </c>
    </row>
    <row r="26" spans="1:20" x14ac:dyDescent="0.3">
      <c r="A26" s="22"/>
      <c r="D26" s="8" t="s">
        <v>185</v>
      </c>
      <c r="E26" s="8">
        <f>IF('Sheet2 (2)'!B19="ALTERNATE TOPOGRAPHY", ABS(H6), ABS(H8))</f>
        <v>0</v>
      </c>
      <c r="F26" s="8">
        <f>I8</f>
        <v>0</v>
      </c>
      <c r="G26" s="8">
        <f t="shared" si="3"/>
        <v>0</v>
      </c>
      <c r="H26" s="8">
        <f t="shared" si="4"/>
        <v>0</v>
      </c>
      <c r="I26" s="8">
        <f t="shared" si="5"/>
        <v>0</v>
      </c>
      <c r="J26" s="8">
        <f t="shared" si="6"/>
        <v>0</v>
      </c>
      <c r="O26" s="18" t="s">
        <v>186</v>
      </c>
      <c r="P26" s="18" t="e">
        <f>DEGREES(ATAN(Q23/P23))</f>
        <v>#DIV/0!</v>
      </c>
      <c r="Q26" s="18"/>
      <c r="R26" s="18"/>
      <c r="S26" s="18"/>
      <c r="T26" s="18"/>
    </row>
    <row r="27" spans="1:20" x14ac:dyDescent="0.3">
      <c r="A27" s="22"/>
      <c r="D27" s="8" t="s">
        <v>187</v>
      </c>
      <c r="E27" s="8">
        <f>H7</f>
        <v>0</v>
      </c>
      <c r="F27" s="8">
        <f>I7</f>
        <v>0</v>
      </c>
      <c r="G27" s="8">
        <f t="shared" si="3"/>
        <v>0</v>
      </c>
      <c r="H27" s="8">
        <f t="shared" si="4"/>
        <v>0</v>
      </c>
      <c r="I27" s="8">
        <f t="shared" si="5"/>
        <v>0</v>
      </c>
      <c r="J27" s="8">
        <f t="shared" si="6"/>
        <v>0</v>
      </c>
      <c r="O27" s="18" t="s">
        <v>188</v>
      </c>
      <c r="P27" s="18" t="e">
        <f>P26/2</f>
        <v>#DIV/0!</v>
      </c>
      <c r="Q27" s="18" t="e">
        <f>IF(P23&lt;0, P27+90, IF(AND(P23&gt;0, Q23&lt;0), P27+180, P27))</f>
        <v>#DIV/0!</v>
      </c>
      <c r="R27" s="18" t="e">
        <f>ROUND(Q27,0)</f>
        <v>#DIV/0!</v>
      </c>
      <c r="S27" s="18"/>
      <c r="T27" s="18"/>
    </row>
    <row r="28" spans="1:20" x14ac:dyDescent="0.3">
      <c r="A28" s="22"/>
      <c r="I28" s="8">
        <f>SUM(I20:I27)</f>
        <v>0</v>
      </c>
      <c r="J28" s="8">
        <f>SUM(J20:J27)</f>
        <v>0</v>
      </c>
      <c r="O28" s="18"/>
      <c r="P28" s="18"/>
      <c r="Q28" s="18"/>
      <c r="R28" s="18"/>
      <c r="S28" s="18"/>
      <c r="T28" s="18"/>
    </row>
    <row r="29" spans="1:20" x14ac:dyDescent="0.3">
      <c r="A29" s="22"/>
      <c r="I29" s="8">
        <f>SUM(I20:I25)</f>
        <v>0</v>
      </c>
      <c r="J29" s="8">
        <f>SUM(J20:J25)</f>
        <v>0</v>
      </c>
      <c r="O29" s="18"/>
      <c r="P29" s="18"/>
      <c r="Q29" s="18"/>
      <c r="R29" s="18"/>
      <c r="S29" s="18"/>
      <c r="T29" s="18" t="s">
        <v>189</v>
      </c>
    </row>
    <row r="30" spans="1:20" x14ac:dyDescent="0.3">
      <c r="A30" s="22"/>
      <c r="I30" s="8">
        <f>SUM(I26:I27)</f>
        <v>0</v>
      </c>
      <c r="J30" s="8">
        <f>SUM(J26:J27)</f>
        <v>0</v>
      </c>
    </row>
    <row r="31" spans="1:20" x14ac:dyDescent="0.3">
      <c r="A31" s="22"/>
      <c r="E31" s="8" t="e">
        <f>T25</f>
        <v>#DIV/0!</v>
      </c>
      <c r="F31" s="8" t="e">
        <f>R27</f>
        <v>#DIV/0!</v>
      </c>
      <c r="G31" s="8" t="e">
        <f>2*F31</f>
        <v>#DIV/0!</v>
      </c>
      <c r="H31" s="8" t="e">
        <f>RADIANS(G31)</f>
        <v>#DIV/0!</v>
      </c>
      <c r="I31" s="8" t="e">
        <f>E31*(COS(H31))</f>
        <v>#DIV/0!</v>
      </c>
      <c r="J31" s="8" t="e">
        <f>E31*(SIN(H31))</f>
        <v>#DIV/0!</v>
      </c>
    </row>
    <row r="32" spans="1:20" x14ac:dyDescent="0.3">
      <c r="A32" s="22"/>
      <c r="I32" s="8" t="e">
        <f>SUM(I30:I31)</f>
        <v>#DIV/0!</v>
      </c>
      <c r="J32" s="8" t="e">
        <f>SUM(J30:J31)</f>
        <v>#DIV/0!</v>
      </c>
    </row>
    <row r="33" spans="1:15" x14ac:dyDescent="0.3">
      <c r="A33" s="22"/>
      <c r="B33" s="18"/>
      <c r="C33" s="18"/>
      <c r="D33" s="18" t="s">
        <v>190</v>
      </c>
      <c r="E33" s="18"/>
      <c r="F33" s="18"/>
    </row>
    <row r="34" spans="1:15" x14ac:dyDescent="0.3">
      <c r="A34" s="22"/>
      <c r="B34" s="18"/>
      <c r="C34" s="18"/>
      <c r="D34" s="18"/>
      <c r="E34" s="18"/>
      <c r="F34" s="18"/>
      <c r="L34" s="8" t="s">
        <v>178</v>
      </c>
      <c r="M34" s="8" t="e">
        <f>SQRT(I32^2+J32^2)</f>
        <v>#DIV/0!</v>
      </c>
      <c r="N34" s="8" t="e">
        <f>ROUND(M34,2)</f>
        <v>#DIV/0!</v>
      </c>
    </row>
    <row r="35" spans="1:15" x14ac:dyDescent="0.3">
      <c r="A35" s="22"/>
      <c r="B35" s="18" t="s">
        <v>178</v>
      </c>
      <c r="C35" s="18">
        <f>SQRT(I30^2+J30^2)</f>
        <v>0</v>
      </c>
      <c r="D35" s="18">
        <f>ROUND(C35,2)</f>
        <v>0</v>
      </c>
      <c r="E35" s="18"/>
      <c r="F35" s="18"/>
      <c r="G35" s="8" t="s">
        <v>178</v>
      </c>
      <c r="H35" s="8">
        <f>SQRT(I28^2+J28^2)</f>
        <v>0</v>
      </c>
      <c r="I35" s="8">
        <f>ROUND(H35,2)</f>
        <v>0</v>
      </c>
      <c r="L35" s="8" t="s">
        <v>186</v>
      </c>
      <c r="M35" s="8" t="e">
        <f>DEGREES(ATAN(J32/I32))</f>
        <v>#DIV/0!</v>
      </c>
    </row>
    <row r="36" spans="1:15" x14ac:dyDescent="0.3">
      <c r="A36" s="22"/>
      <c r="B36" s="18" t="s">
        <v>186</v>
      </c>
      <c r="C36" s="18" t="e">
        <f>DEGREES(ATAN(J30/I30))</f>
        <v>#DIV/0!</v>
      </c>
      <c r="D36" s="18"/>
      <c r="E36" s="18"/>
      <c r="F36" s="18"/>
      <c r="G36" s="8" t="s">
        <v>186</v>
      </c>
      <c r="H36" s="8" t="e">
        <f>DEGREES(ATAN(J28/I28))</f>
        <v>#DIV/0!</v>
      </c>
      <c r="L36" s="8" t="s">
        <v>188</v>
      </c>
      <c r="M36" s="8" t="e">
        <f>M35/2</f>
        <v>#DIV/0!</v>
      </c>
      <c r="N36" s="8" t="e">
        <f>ROUND(M36,0)</f>
        <v>#DIV/0!</v>
      </c>
      <c r="O36" s="8" t="e">
        <f>IF(I32&lt;0, N36+90, IF(AND(I32&gt;0, J32&lt;0), N36+180, N36))</f>
        <v>#DIV/0!</v>
      </c>
    </row>
    <row r="37" spans="1:15" x14ac:dyDescent="0.3">
      <c r="A37" s="22"/>
      <c r="B37" s="18" t="s">
        <v>188</v>
      </c>
      <c r="C37" s="18" t="e">
        <f>C36/2</f>
        <v>#DIV/0!</v>
      </c>
      <c r="D37" s="18" t="e">
        <f>ROUND(C37,0)</f>
        <v>#DIV/0!</v>
      </c>
      <c r="E37" s="18" t="e">
        <f>IF(I30&lt;0, D37+90, IF(AND(I30&gt;0, J30&lt;0), D37+180, D37))</f>
        <v>#DIV/0!</v>
      </c>
      <c r="F37" s="18"/>
      <c r="G37" s="8" t="s">
        <v>188</v>
      </c>
      <c r="H37" s="8" t="e">
        <f>H36/2</f>
        <v>#DIV/0!</v>
      </c>
      <c r="I37" s="8" t="e">
        <f>ROUND(H37,0)</f>
        <v>#DIV/0!</v>
      </c>
      <c r="J37" s="8" t="e">
        <f>IF(I28&lt;0, I37+90, IF(AND(I28&gt;0, J28&lt;0), I37+180, I37))</f>
        <v>#DIV/0!</v>
      </c>
    </row>
    <row r="38" spans="1:15" x14ac:dyDescent="0.3">
      <c r="A38" s="22"/>
    </row>
    <row r="39" spans="1:15" x14ac:dyDescent="0.3">
      <c r="A39" s="22"/>
    </row>
    <row r="40" spans="1:15" x14ac:dyDescent="0.3">
      <c r="A40" s="22"/>
      <c r="B40" s="18" t="s">
        <v>178</v>
      </c>
      <c r="C40" s="18">
        <f>SQRT(I29^2+J29^2)</f>
        <v>0</v>
      </c>
      <c r="D40" s="18">
        <f>ROUND(C40,2)</f>
        <v>0</v>
      </c>
      <c r="E40" s="18"/>
      <c r="F40" s="18"/>
    </row>
    <row r="41" spans="1:15" x14ac:dyDescent="0.3">
      <c r="A41" s="22"/>
      <c r="B41" s="18" t="s">
        <v>186</v>
      </c>
      <c r="C41" s="18" t="e">
        <f>DEGREES(ATAN(J29/I29))</f>
        <v>#DIV/0!</v>
      </c>
      <c r="D41" s="18"/>
      <c r="E41" s="18"/>
      <c r="F41" s="18"/>
    </row>
    <row r="42" spans="1:15" x14ac:dyDescent="0.3">
      <c r="A42" s="22"/>
      <c r="B42" s="18" t="s">
        <v>188</v>
      </c>
      <c r="C42" s="18" t="e">
        <f>C41/2</f>
        <v>#DIV/0!</v>
      </c>
      <c r="D42" s="18" t="e">
        <f>ROUND(C42,0)</f>
        <v>#DIV/0!</v>
      </c>
      <c r="E42" s="18" t="e">
        <f>IF(I29&lt;0, D42+90, IF(AND(I29&gt;0, J29&lt;0), D42+180, D42))</f>
        <v>#DIV/0!</v>
      </c>
      <c r="F42" s="18"/>
      <c r="H42" s="18" t="e">
        <f>E31</f>
        <v>#DIV/0!</v>
      </c>
      <c r="I42" s="18" t="e">
        <f>F31</f>
        <v>#DIV/0!</v>
      </c>
      <c r="J42" s="18" t="e">
        <f>2*I42</f>
        <v>#DIV/0!</v>
      </c>
      <c r="K42" s="18" t="e">
        <f>RADIANS(J42)</f>
        <v>#DIV/0!</v>
      </c>
      <c r="L42" s="18" t="e">
        <f>H42*(COS(K42))</f>
        <v>#DIV/0!</v>
      </c>
      <c r="M42" s="18" t="e">
        <f>H42*(SIN(K42))</f>
        <v>#DIV/0!</v>
      </c>
    </row>
    <row r="43" spans="1:15" x14ac:dyDescent="0.3">
      <c r="A43" s="22"/>
      <c r="B43" s="18"/>
      <c r="C43" s="18"/>
      <c r="D43" s="18"/>
      <c r="E43" s="18"/>
      <c r="F43" s="18"/>
      <c r="H43" s="18">
        <f>D35</f>
        <v>0</v>
      </c>
      <c r="I43" s="18" t="e">
        <f>E37</f>
        <v>#DIV/0!</v>
      </c>
      <c r="J43" s="18" t="e">
        <f>2*I43</f>
        <v>#DIV/0!</v>
      </c>
      <c r="K43" s="18" t="e">
        <f>RADIANS(J43)</f>
        <v>#DIV/0!</v>
      </c>
      <c r="L43" s="18" t="e">
        <f>H43*(COS(K43))</f>
        <v>#DIV/0!</v>
      </c>
      <c r="M43" s="18" t="e">
        <f>H43*(SIN(K43))</f>
        <v>#DIV/0!</v>
      </c>
    </row>
    <row r="44" spans="1:15" x14ac:dyDescent="0.3">
      <c r="A44" s="22"/>
      <c r="B44" s="18"/>
      <c r="C44" s="18"/>
      <c r="D44" s="18"/>
      <c r="E44" s="18"/>
      <c r="F44" s="18" t="s">
        <v>191</v>
      </c>
      <c r="H44" s="18"/>
      <c r="I44" s="18"/>
      <c r="J44" s="18"/>
      <c r="K44" s="18"/>
      <c r="L44" s="18" t="e">
        <f>SUM(L42:L43)</f>
        <v>#DIV/0!</v>
      </c>
      <c r="M44" s="18" t="e">
        <f>SUM(M42:M43)</f>
        <v>#DIV/0!</v>
      </c>
    </row>
    <row r="45" spans="1:15" x14ac:dyDescent="0.3">
      <c r="A45" s="22"/>
      <c r="H45" s="18"/>
      <c r="I45" s="18"/>
      <c r="J45" s="18"/>
      <c r="K45" s="18"/>
      <c r="L45" s="18"/>
      <c r="M45" s="18"/>
    </row>
    <row r="46" spans="1:15" x14ac:dyDescent="0.3">
      <c r="A46" s="22"/>
      <c r="H46" s="18" t="s">
        <v>178</v>
      </c>
      <c r="I46" s="18" t="e">
        <f>SQRT(L44^2+M44^2)</f>
        <v>#DIV/0!</v>
      </c>
      <c r="J46" s="18" t="e">
        <f>ROUND(I46,2)</f>
        <v>#DIV/0!</v>
      </c>
      <c r="K46" s="18"/>
      <c r="L46" s="18"/>
      <c r="M46" s="18"/>
    </row>
    <row r="47" spans="1:15" x14ac:dyDescent="0.3">
      <c r="A47" s="22"/>
      <c r="H47" s="18" t="s">
        <v>186</v>
      </c>
      <c r="I47" s="18" t="e">
        <f>DEGREES(ATAN(M44/L44))</f>
        <v>#DIV/0!</v>
      </c>
      <c r="J47" s="18"/>
      <c r="K47" s="18"/>
      <c r="L47" s="18"/>
      <c r="M47" s="18"/>
    </row>
    <row r="48" spans="1:15" x14ac:dyDescent="0.3">
      <c r="A48" s="22"/>
      <c r="D48" s="8">
        <v>50</v>
      </c>
      <c r="H48" s="18" t="s">
        <v>188</v>
      </c>
      <c r="I48" s="18" t="e">
        <f>I47/2</f>
        <v>#DIV/0!</v>
      </c>
      <c r="J48" s="18" t="e">
        <f>ROUND(I48,0)</f>
        <v>#DIV/0!</v>
      </c>
      <c r="K48" s="18" t="e">
        <f>IF(L44&lt;0, J48+90, IF(AND(L44&gt;0, M44&lt;0), J48+180, J48))</f>
        <v>#DIV/0!</v>
      </c>
      <c r="L48" s="18"/>
      <c r="M48" s="18" t="s">
        <v>193</v>
      </c>
    </row>
    <row r="49" spans="1:13" x14ac:dyDescent="0.3">
      <c r="A49" s="22"/>
      <c r="D49" s="8">
        <v>60</v>
      </c>
    </row>
    <row r="50" spans="1:13" x14ac:dyDescent="0.3">
      <c r="A50" s="22"/>
      <c r="D50" s="8">
        <v>70</v>
      </c>
    </row>
    <row r="51" spans="1:13" x14ac:dyDescent="0.3">
      <c r="A51" s="22"/>
      <c r="D51" s="8">
        <v>80</v>
      </c>
    </row>
    <row r="52" spans="1:13" x14ac:dyDescent="0.3">
      <c r="A52" s="22"/>
      <c r="D52" s="8">
        <v>90</v>
      </c>
      <c r="H52" s="18">
        <f>D35</f>
        <v>0</v>
      </c>
      <c r="I52" s="18" t="e">
        <f>E37*2</f>
        <v>#DIV/0!</v>
      </c>
      <c r="J52" s="18" t="e">
        <f>RADIANS(I52)</f>
        <v>#DIV/0!</v>
      </c>
      <c r="K52" s="18" t="e">
        <f>H52*(COS(J52))</f>
        <v>#DIV/0!</v>
      </c>
      <c r="L52" s="18" t="e">
        <f>H52*(SIN(J52))</f>
        <v>#DIV/0!</v>
      </c>
      <c r="M52" s="18"/>
    </row>
    <row r="53" spans="1:13" x14ac:dyDescent="0.3">
      <c r="A53" s="22"/>
      <c r="D53" s="8">
        <v>100</v>
      </c>
      <c r="H53" s="18" t="e">
        <f>P25</f>
        <v>#DIV/0!</v>
      </c>
      <c r="I53" s="18" t="e">
        <f>R27*2</f>
        <v>#DIV/0!</v>
      </c>
      <c r="J53" s="18" t="e">
        <f>RADIANS(I53)</f>
        <v>#DIV/0!</v>
      </c>
      <c r="K53" s="18" t="e">
        <f>H53*(COS(J53))</f>
        <v>#DIV/0!</v>
      </c>
      <c r="L53" s="18" t="e">
        <f>H53*(SIN(J53))</f>
        <v>#DIV/0!</v>
      </c>
      <c r="M53" s="18"/>
    </row>
    <row r="54" spans="1:13" x14ac:dyDescent="0.3">
      <c r="A54" s="22"/>
      <c r="D54" s="8">
        <v>110</v>
      </c>
      <c r="H54" s="18"/>
      <c r="I54" s="18"/>
      <c r="J54" s="18"/>
      <c r="K54" s="18" t="e">
        <f>SUM(K52:K53)</f>
        <v>#DIV/0!</v>
      </c>
      <c r="L54" s="18" t="e">
        <f>SUM(L52:L53)</f>
        <v>#DIV/0!</v>
      </c>
      <c r="M54" s="18"/>
    </row>
    <row r="55" spans="1:13" x14ac:dyDescent="0.3">
      <c r="A55" s="22"/>
      <c r="D55" s="8">
        <v>120</v>
      </c>
      <c r="H55" s="18"/>
      <c r="I55" s="18"/>
      <c r="J55" s="18"/>
      <c r="K55" s="18"/>
      <c r="L55" s="18"/>
      <c r="M55" s="18"/>
    </row>
    <row r="56" spans="1:13" x14ac:dyDescent="0.3">
      <c r="A56" s="22"/>
      <c r="D56" s="8">
        <v>140</v>
      </c>
      <c r="H56" s="18" t="s">
        <v>178</v>
      </c>
      <c r="I56" s="18" t="e">
        <f>SQRT(K54^2+L54^2)</f>
        <v>#DIV/0!</v>
      </c>
      <c r="J56" s="18"/>
      <c r="K56" s="18"/>
      <c r="L56" s="18"/>
      <c r="M56" s="18"/>
    </row>
    <row r="57" spans="1:13" x14ac:dyDescent="0.3">
      <c r="A57" s="22"/>
      <c r="D57" s="8">
        <v>160</v>
      </c>
      <c r="H57" s="18" t="s">
        <v>186</v>
      </c>
      <c r="I57" s="18" t="e">
        <f>DEGREES(ATAN(L54/K54))</f>
        <v>#DIV/0!</v>
      </c>
      <c r="J57" s="18"/>
      <c r="K57" s="18" t="e">
        <f>IF(K54&lt;0, J58+90, IF(AND(K54&gt;0, L54&lt;0), J58+180, J58))</f>
        <v>#DIV/0!</v>
      </c>
      <c r="L57" s="18"/>
      <c r="M57" s="18"/>
    </row>
    <row r="58" spans="1:13" x14ac:dyDescent="0.3">
      <c r="A58" s="22"/>
      <c r="D58" s="8">
        <v>180</v>
      </c>
      <c r="H58" s="18" t="s">
        <v>188</v>
      </c>
      <c r="I58" s="18" t="e">
        <f>I57/2</f>
        <v>#DIV/0!</v>
      </c>
      <c r="J58" s="18" t="e">
        <f>ROUND(I58,0)</f>
        <v>#DIV/0!</v>
      </c>
      <c r="K58" s="18"/>
      <c r="L58" s="18"/>
      <c r="M58" s="18" t="s">
        <v>192</v>
      </c>
    </row>
    <row r="59" spans="1:13" x14ac:dyDescent="0.3">
      <c r="A59" s="22"/>
      <c r="D59" s="8">
        <v>200</v>
      </c>
    </row>
    <row r="60" spans="1:13" x14ac:dyDescent="0.3">
      <c r="A60" s="22"/>
      <c r="D60" s="8">
        <v>220</v>
      </c>
    </row>
    <row r="61" spans="1:13" x14ac:dyDescent="0.3">
      <c r="A61" s="22"/>
      <c r="D61" s="8">
        <v>240</v>
      </c>
      <c r="H61" s="18">
        <f>ABS(H5)</f>
        <v>0</v>
      </c>
      <c r="I61" s="34">
        <f>I5*2</f>
        <v>0</v>
      </c>
      <c r="J61" s="18">
        <f>RADIANS(I61)</f>
        <v>0</v>
      </c>
      <c r="K61" s="18">
        <f>H61*(COS(J61))</f>
        <v>0</v>
      </c>
      <c r="L61" s="18">
        <f>H61*(SIN(J61))</f>
        <v>0</v>
      </c>
      <c r="M61" s="18"/>
    </row>
    <row r="62" spans="1:13" x14ac:dyDescent="0.3">
      <c r="A62" s="22"/>
      <c r="H62" s="18">
        <f>-H9</f>
        <v>0</v>
      </c>
      <c r="I62" s="18" t="e">
        <f>I9*2</f>
        <v>#DIV/0!</v>
      </c>
      <c r="J62" s="18" t="e">
        <f>RADIANS(I62)</f>
        <v>#DIV/0!</v>
      </c>
      <c r="K62" s="18" t="e">
        <f>H62*(COS(J62))</f>
        <v>#DIV/0!</v>
      </c>
      <c r="L62" s="18" t="e">
        <f>H62*(SIN(J62))</f>
        <v>#DIV/0!</v>
      </c>
      <c r="M62" s="18"/>
    </row>
    <row r="63" spans="1:13" x14ac:dyDescent="0.3">
      <c r="A63" s="22"/>
      <c r="H63" s="18"/>
      <c r="I63" s="18"/>
      <c r="J63" s="18"/>
      <c r="K63" s="18" t="e">
        <f>SUM(K61:K62)</f>
        <v>#DIV/0!</v>
      </c>
      <c r="L63" s="18" t="e">
        <f>SUM(L61:L62)</f>
        <v>#DIV/0!</v>
      </c>
      <c r="M63" s="18"/>
    </row>
    <row r="64" spans="1:13" x14ac:dyDescent="0.3">
      <c r="A64" s="22"/>
      <c r="H64" s="18"/>
      <c r="I64" s="18"/>
      <c r="J64" s="18"/>
      <c r="K64" s="18"/>
      <c r="L64" s="18"/>
      <c r="M64" s="18"/>
    </row>
    <row r="65" spans="1:26" x14ac:dyDescent="0.3">
      <c r="A65" s="22"/>
      <c r="D65" s="8" t="e">
        <f>(J65-J16)/2</f>
        <v>#DIV/0!</v>
      </c>
      <c r="E65" s="33" t="e">
        <f>G5+D65</f>
        <v>#DIV/0!</v>
      </c>
      <c r="F65" s="33" t="e">
        <f>E65-M15</f>
        <v>#DIV/0!</v>
      </c>
      <c r="H65" s="18" t="s">
        <v>178</v>
      </c>
      <c r="I65" s="18" t="e">
        <f>SQRT(K63^2+L63^2)</f>
        <v>#DIV/0!</v>
      </c>
      <c r="J65" s="18" t="e">
        <f>ROUND(I65,2)</f>
        <v>#DIV/0!</v>
      </c>
      <c r="K65" s="18"/>
      <c r="L65" s="18"/>
      <c r="M65" s="18"/>
    </row>
    <row r="66" spans="1:26" x14ac:dyDescent="0.3">
      <c r="A66" s="22"/>
      <c r="F66" s="33" t="e">
        <f>ROUND(F65,2)</f>
        <v>#DIV/0!</v>
      </c>
      <c r="H66" s="18" t="s">
        <v>186</v>
      </c>
      <c r="I66" s="18" t="e">
        <f>DEGREES(ATAN(L63/K63))</f>
        <v>#DIV/0!</v>
      </c>
      <c r="J66" s="18"/>
      <c r="K66" s="18"/>
      <c r="L66" s="18"/>
      <c r="M66" s="18"/>
    </row>
    <row r="67" spans="1:26" x14ac:dyDescent="0.3">
      <c r="A67" s="22"/>
      <c r="H67" s="18" t="s">
        <v>188</v>
      </c>
      <c r="I67" s="18" t="e">
        <f>I66/2</f>
        <v>#DIV/0!</v>
      </c>
      <c r="J67" s="18" t="e">
        <f>ROUND(I67,0)</f>
        <v>#DIV/0!</v>
      </c>
      <c r="K67" s="18" t="e">
        <f>IF(K63&lt;0, J67+90, IF(AND(K63&gt;0, L63&lt;0), J67+180, J67))</f>
        <v>#DIV/0!</v>
      </c>
      <c r="L67" s="18"/>
      <c r="M67" s="18" t="s">
        <v>194</v>
      </c>
    </row>
    <row r="68" spans="1:26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4.7" customHeight="1" x14ac:dyDescent="0.3">
      <c r="A69" s="22"/>
      <c r="B69" s="62" t="s">
        <v>195</v>
      </c>
      <c r="C69" s="59" t="s">
        <v>66</v>
      </c>
      <c r="D69" s="59" t="s">
        <v>18</v>
      </c>
      <c r="E69" s="59" t="s">
        <v>19</v>
      </c>
      <c r="F69" s="58"/>
      <c r="G69" s="55"/>
      <c r="H69" s="36" t="s">
        <v>66</v>
      </c>
      <c r="I69" s="36" t="s">
        <v>18</v>
      </c>
      <c r="J69" s="63" t="s">
        <v>19</v>
      </c>
      <c r="K69" s="333" t="s">
        <v>212</v>
      </c>
      <c r="L69" s="333"/>
      <c r="M69" s="333"/>
      <c r="N69" s="333"/>
      <c r="O69" s="35"/>
      <c r="P69" s="35"/>
      <c r="Q69" s="35"/>
      <c r="R69" s="35"/>
      <c r="S69" s="35"/>
      <c r="T69" s="35"/>
      <c r="U69" s="35"/>
    </row>
    <row r="70" spans="1:26" ht="14.7" customHeight="1" x14ac:dyDescent="0.3">
      <c r="A70" s="22"/>
      <c r="B70" s="62"/>
      <c r="C70" s="59" t="e">
        <f>L5</f>
        <v>#DIV/0!</v>
      </c>
      <c r="D70" s="59" t="e">
        <f>H12</f>
        <v>#DIV/0!</v>
      </c>
      <c r="E70" s="59" t="e">
        <f>I12</f>
        <v>#DIV/0!</v>
      </c>
      <c r="F70" s="58"/>
      <c r="G70" s="36" t="s">
        <v>221</v>
      </c>
      <c r="H70" s="39" t="e">
        <f>L5</f>
        <v>#DIV/0!</v>
      </c>
      <c r="I70" s="39" t="e">
        <f>H12</f>
        <v>#DIV/0!</v>
      </c>
      <c r="J70" s="64" t="e">
        <f>I12</f>
        <v>#DIV/0!</v>
      </c>
      <c r="K70" s="335" t="str">
        <f>PRIMARY!W13</f>
        <v>Contoura LASIK can be done</v>
      </c>
      <c r="L70" s="335"/>
      <c r="M70" s="335"/>
      <c r="N70" s="335"/>
      <c r="O70" s="35"/>
      <c r="P70" s="35"/>
      <c r="Q70" s="35"/>
      <c r="R70" s="35"/>
      <c r="S70" s="35"/>
      <c r="T70" s="35"/>
      <c r="U70" s="35"/>
    </row>
    <row r="71" spans="1:26" x14ac:dyDescent="0.3">
      <c r="A71" s="22"/>
      <c r="B71" s="332"/>
      <c r="C71" s="332"/>
      <c r="D71" s="332"/>
      <c r="E71" s="332"/>
      <c r="F71" s="58"/>
      <c r="G71" s="19" t="s">
        <v>222</v>
      </c>
      <c r="H71" s="56" t="e">
        <f>F66</f>
        <v>#DIV/0!</v>
      </c>
      <c r="I71" s="57" t="e">
        <f>-J65</f>
        <v>#DIV/0!</v>
      </c>
      <c r="J71" s="65" t="e">
        <f>K67</f>
        <v>#DIV/0!</v>
      </c>
      <c r="K71" s="334" t="str">
        <f>IF(OR((ABS(H9)&gt;ABS(H10)), (H9&gt;2)), "CAUTION: POSSIBLE HIGH CORNEAL COMA.CHECK IF TMR CYL AND AXIS IS CLOSE TO MMR.IF YES, THEN FOLLOW TMR. IF NO, THEN MODIFY ACCORDINGLY. ", "CORNEA SEEMS REGULAR, FOLLOW BELOW PROTOCOLS.")</f>
        <v>CORNEA SEEMS REGULAR, FOLLOW BELOW PROTOCOLS.</v>
      </c>
      <c r="L71" s="334"/>
      <c r="M71" s="334"/>
      <c r="N71" s="334"/>
    </row>
    <row r="72" spans="1:26" ht="14.7" customHeight="1" x14ac:dyDescent="0.3">
      <c r="A72" s="22"/>
      <c r="B72" s="348"/>
      <c r="C72" s="348"/>
      <c r="D72" s="348"/>
      <c r="E72" s="348"/>
      <c r="F72" s="58"/>
      <c r="G72" s="19" t="s">
        <v>223</v>
      </c>
      <c r="H72" s="56">
        <f>G5+((ABS(I72)-ABS(H5))/2)-((C5-C6)*0.02)</f>
        <v>0</v>
      </c>
      <c r="I72" s="69"/>
      <c r="J72" s="70"/>
      <c r="K72" s="334"/>
      <c r="L72" s="334"/>
      <c r="M72" s="334"/>
      <c r="N72" s="334"/>
    </row>
    <row r="73" spans="1:26" ht="14.7" customHeight="1" x14ac:dyDescent="0.3">
      <c r="A73" s="22"/>
      <c r="B73" s="348"/>
      <c r="C73" s="348"/>
      <c r="D73" s="348"/>
      <c r="E73" s="348"/>
      <c r="F73" s="345" t="s">
        <v>213</v>
      </c>
      <c r="G73" s="352" t="s">
        <v>208</v>
      </c>
      <c r="H73" s="42" t="s">
        <v>204</v>
      </c>
      <c r="I73" s="347" t="s">
        <v>255</v>
      </c>
      <c r="J73" s="354"/>
      <c r="K73" s="334"/>
      <c r="L73" s="334"/>
      <c r="M73" s="334"/>
      <c r="N73" s="334"/>
    </row>
    <row r="74" spans="1:26" ht="14.7" customHeight="1" x14ac:dyDescent="0.3">
      <c r="A74" s="22"/>
      <c r="B74" s="348"/>
      <c r="C74" s="348"/>
      <c r="D74" s="348"/>
      <c r="E74" s="348"/>
      <c r="F74" s="345"/>
      <c r="G74" s="352"/>
      <c r="H74" s="42" t="s">
        <v>203</v>
      </c>
      <c r="I74" s="349" t="s">
        <v>254</v>
      </c>
      <c r="J74" s="353"/>
      <c r="K74" s="334"/>
      <c r="L74" s="334"/>
      <c r="M74" s="334"/>
      <c r="N74" s="334"/>
    </row>
    <row r="75" spans="1:26" ht="14.7" customHeight="1" x14ac:dyDescent="0.3">
      <c r="A75" s="22"/>
      <c r="B75" s="348"/>
      <c r="C75" s="348"/>
      <c r="D75" s="348"/>
      <c r="E75" s="348"/>
      <c r="F75" s="345"/>
      <c r="G75" s="352"/>
      <c r="H75" s="42" t="s">
        <v>199</v>
      </c>
      <c r="I75" s="349" t="s">
        <v>256</v>
      </c>
      <c r="J75" s="353"/>
      <c r="K75" s="334"/>
      <c r="L75" s="334"/>
      <c r="M75" s="334"/>
      <c r="N75" s="334"/>
    </row>
    <row r="76" spans="1:26" ht="14.7" customHeight="1" x14ac:dyDescent="0.3">
      <c r="A76" s="22"/>
      <c r="B76" s="348"/>
      <c r="C76" s="348"/>
      <c r="D76" s="348"/>
      <c r="E76" s="348"/>
      <c r="F76" s="345"/>
      <c r="G76" s="352"/>
      <c r="H76" s="42" t="s">
        <v>200</v>
      </c>
      <c r="I76" s="349" t="s">
        <v>257</v>
      </c>
      <c r="J76" s="353"/>
      <c r="K76" s="336" t="str">
        <f>IF(H9&lt;0.1, "Contoura LASIK can safely be done, minimal Higher Order Aberrations", IF(H9&lt;=0.5, "Contoura LASIK can be done using Modified Refraction", "Contoura LASIK best choice, since corneal Higher Order Aberrations are high"))</f>
        <v>Contoura LASIK can safely be done, minimal Higher Order Aberrations</v>
      </c>
      <c r="L76" s="337"/>
      <c r="M76" s="337"/>
      <c r="N76" s="338"/>
    </row>
    <row r="77" spans="1:26" ht="14.7" customHeight="1" x14ac:dyDescent="0.3">
      <c r="A77" s="22"/>
      <c r="B77" s="348"/>
      <c r="C77" s="348"/>
      <c r="D77" s="348"/>
      <c r="E77" s="348"/>
      <c r="F77" s="345"/>
      <c r="G77" s="352"/>
      <c r="H77" s="42" t="s">
        <v>201</v>
      </c>
      <c r="I77" s="349" t="s">
        <v>258</v>
      </c>
      <c r="J77" s="353"/>
      <c r="K77" s="339"/>
      <c r="L77" s="340"/>
      <c r="M77" s="340"/>
      <c r="N77" s="341"/>
    </row>
    <row r="78" spans="1:26" ht="14.7" customHeight="1" x14ac:dyDescent="0.3">
      <c r="A78" s="22"/>
      <c r="B78" s="348"/>
      <c r="C78" s="348"/>
      <c r="D78" s="348"/>
      <c r="E78" s="348"/>
      <c r="F78" s="345"/>
      <c r="G78" s="352"/>
      <c r="H78" s="42" t="s">
        <v>202</v>
      </c>
      <c r="I78" s="349" t="s">
        <v>259</v>
      </c>
      <c r="J78" s="353"/>
      <c r="K78" s="339"/>
      <c r="L78" s="340"/>
      <c r="M78" s="340"/>
      <c r="N78" s="341"/>
    </row>
    <row r="79" spans="1:26" ht="14.7" customHeight="1" x14ac:dyDescent="0.3">
      <c r="A79" s="22"/>
      <c r="B79" s="348"/>
      <c r="C79" s="348"/>
      <c r="D79" s="348"/>
      <c r="E79" s="348"/>
      <c r="F79" s="345"/>
      <c r="G79" s="346" t="s">
        <v>260</v>
      </c>
      <c r="H79" s="347"/>
      <c r="I79" s="347"/>
      <c r="J79" s="347"/>
      <c r="K79" s="339"/>
      <c r="L79" s="340"/>
      <c r="M79" s="340"/>
      <c r="N79" s="341"/>
    </row>
    <row r="80" spans="1:26" ht="14.7" customHeight="1" x14ac:dyDescent="0.3">
      <c r="A80" s="22"/>
      <c r="B80" s="348"/>
      <c r="C80" s="348"/>
      <c r="D80" s="348"/>
      <c r="E80" s="348"/>
      <c r="F80" s="345"/>
      <c r="G80" s="346"/>
      <c r="H80" s="347"/>
      <c r="I80" s="347"/>
      <c r="J80" s="347"/>
      <c r="K80" s="342"/>
      <c r="L80" s="343"/>
      <c r="M80" s="343"/>
      <c r="N80" s="344"/>
    </row>
    <row r="81" spans="1:14" ht="14.7" customHeight="1" x14ac:dyDescent="0.3">
      <c r="A81" s="22"/>
      <c r="B81" s="348"/>
      <c r="C81" s="348"/>
      <c r="D81" s="348"/>
      <c r="E81" s="348"/>
      <c r="F81" s="345"/>
      <c r="G81" s="35"/>
      <c r="H81" s="35"/>
      <c r="I81" s="35"/>
      <c r="J81" s="35"/>
      <c r="K81" s="350"/>
      <c r="L81" s="351"/>
      <c r="M81" s="351"/>
      <c r="N81" s="351"/>
    </row>
    <row r="82" spans="1:14" ht="14.7" customHeight="1" x14ac:dyDescent="0.3">
      <c r="A82" s="22"/>
      <c r="B82" s="348"/>
      <c r="C82" s="348"/>
      <c r="D82" s="348"/>
      <c r="E82" s="348"/>
      <c r="F82" s="345"/>
      <c r="G82" s="355" t="s">
        <v>209</v>
      </c>
      <c r="H82" s="79" t="s">
        <v>204</v>
      </c>
      <c r="I82" s="347" t="s">
        <v>205</v>
      </c>
      <c r="J82" s="347"/>
      <c r="K82" s="351"/>
      <c r="L82" s="351"/>
      <c r="M82" s="351"/>
      <c r="N82" s="351"/>
    </row>
    <row r="83" spans="1:14" ht="14.7" customHeight="1" x14ac:dyDescent="0.3">
      <c r="A83" s="22"/>
      <c r="B83" s="348"/>
      <c r="C83" s="348"/>
      <c r="D83" s="348"/>
      <c r="E83" s="348"/>
      <c r="F83" s="345"/>
      <c r="G83" s="355"/>
      <c r="H83" s="79" t="s">
        <v>210</v>
      </c>
      <c r="I83" s="349" t="s">
        <v>206</v>
      </c>
      <c r="J83" s="349"/>
      <c r="K83" s="351"/>
      <c r="L83" s="351"/>
      <c r="M83" s="351"/>
      <c r="N83" s="351"/>
    </row>
    <row r="84" spans="1:14" s="35" customFormat="1" x14ac:dyDescent="0.3">
      <c r="F84" s="345"/>
      <c r="G84" s="355"/>
      <c r="H84" s="79" t="s">
        <v>211</v>
      </c>
      <c r="I84" s="349" t="s">
        <v>207</v>
      </c>
      <c r="J84" s="349"/>
    </row>
    <row r="89" spans="1:14" x14ac:dyDescent="0.3">
      <c r="D89" s="8" t="s">
        <v>230</v>
      </c>
    </row>
    <row r="90" spans="1:14" x14ac:dyDescent="0.3">
      <c r="H90" s="8">
        <v>20</v>
      </c>
    </row>
    <row r="91" spans="1:14" x14ac:dyDescent="0.3">
      <c r="D91" s="8" t="s">
        <v>233</v>
      </c>
      <c r="E91" s="8" t="s">
        <v>234</v>
      </c>
      <c r="H91" s="8">
        <v>30</v>
      </c>
    </row>
    <row r="92" spans="1:14" x14ac:dyDescent="0.3">
      <c r="D92" s="8">
        <v>1</v>
      </c>
      <c r="E92" s="8" t="s">
        <v>237</v>
      </c>
      <c r="H92" s="8">
        <v>40</v>
      </c>
    </row>
    <row r="93" spans="1:14" x14ac:dyDescent="0.3">
      <c r="D93" s="8">
        <v>2</v>
      </c>
      <c r="E93" s="8" t="s">
        <v>235</v>
      </c>
      <c r="H93" s="8">
        <v>50</v>
      </c>
    </row>
    <row r="94" spans="1:14" x14ac:dyDescent="0.3">
      <c r="D94" s="8">
        <v>3</v>
      </c>
      <c r="E94" s="8" t="s">
        <v>236</v>
      </c>
      <c r="H94" s="8">
        <v>60</v>
      </c>
    </row>
    <row r="95" spans="1:14" x14ac:dyDescent="0.3">
      <c r="D95" s="8">
        <v>4</v>
      </c>
      <c r="E95" s="8" t="s">
        <v>239</v>
      </c>
      <c r="H95" s="8">
        <v>70</v>
      </c>
    </row>
    <row r="96" spans="1:14" x14ac:dyDescent="0.3">
      <c r="D96" s="8">
        <v>5</v>
      </c>
      <c r="E96" s="8" t="s">
        <v>240</v>
      </c>
      <c r="H96" s="8">
        <v>80</v>
      </c>
    </row>
    <row r="97" spans="2:8" x14ac:dyDescent="0.3">
      <c r="D97" s="8">
        <v>6</v>
      </c>
      <c r="E97" s="8" t="s">
        <v>241</v>
      </c>
      <c r="H97" s="8">
        <v>90</v>
      </c>
    </row>
    <row r="98" spans="2:8" x14ac:dyDescent="0.3">
      <c r="E98" s="8" t="s">
        <v>238</v>
      </c>
      <c r="H98" s="8">
        <v>100</v>
      </c>
    </row>
    <row r="99" spans="2:8" x14ac:dyDescent="0.3">
      <c r="H99" s="8">
        <v>110</v>
      </c>
    </row>
    <row r="100" spans="2:8" x14ac:dyDescent="0.3">
      <c r="H100" s="8">
        <v>120</v>
      </c>
    </row>
    <row r="101" spans="2:8" x14ac:dyDescent="0.3">
      <c r="B101" s="8" t="s">
        <v>248</v>
      </c>
      <c r="C101" s="33">
        <f>H5/2+G5</f>
        <v>0</v>
      </c>
      <c r="E101" s="8" t="s">
        <v>252</v>
      </c>
      <c r="H101" s="8">
        <v>130</v>
      </c>
    </row>
    <row r="102" spans="2:8" x14ac:dyDescent="0.3">
      <c r="B102" s="8" t="s">
        <v>249</v>
      </c>
      <c r="C102" s="8" t="e">
        <f>I70/2+H70</f>
        <v>#DIV/0!</v>
      </c>
      <c r="E102" s="8" t="e">
        <f>C104-C103</f>
        <v>#DIV/0!</v>
      </c>
      <c r="H102" s="8">
        <v>140</v>
      </c>
    </row>
    <row r="103" spans="2:8" x14ac:dyDescent="0.3">
      <c r="B103" s="8" t="s">
        <v>250</v>
      </c>
      <c r="C103" s="8">
        <f>ABS(C101)</f>
        <v>0</v>
      </c>
      <c r="H103" s="8">
        <v>150</v>
      </c>
    </row>
    <row r="104" spans="2:8" x14ac:dyDescent="0.3">
      <c r="B104" s="8" t="s">
        <v>251</v>
      </c>
      <c r="C104" s="8" t="e">
        <f>ABS(C102)</f>
        <v>#DIV/0!</v>
      </c>
      <c r="H104" s="8">
        <v>160</v>
      </c>
    </row>
    <row r="105" spans="2:8" x14ac:dyDescent="0.3">
      <c r="H105" s="8">
        <v>170</v>
      </c>
    </row>
    <row r="106" spans="2:8" x14ac:dyDescent="0.3">
      <c r="D106" s="8" t="s">
        <v>242</v>
      </c>
      <c r="E106" s="8" t="s">
        <v>244</v>
      </c>
      <c r="H106" s="8">
        <v>180</v>
      </c>
    </row>
    <row r="107" spans="2:8" x14ac:dyDescent="0.3">
      <c r="D107" s="8" t="b">
        <f>IF(D8=1, "100", IF(D8=2, "90", IF(D8=3, "80", IF(D8=4, "70", IF(D8=5, "60", IF(D8=6, "50"))))))</f>
        <v>0</v>
      </c>
      <c r="E107" s="8" t="b">
        <f>IF(E8="1/2 box", 0.25*D107, IF(E8="3/4 box", 0.37*D107, IF(E8="1 box", 0.5*D107, IF(E8="1.5 boxes", 0.75*D107, IF(E8="2 boxes", D107, IF(E8="2.5 boxes", 1.25*D107, IF(E8="3 boxes", 1.5*D107)))))))</f>
        <v>0</v>
      </c>
      <c r="H107" s="8">
        <v>190</v>
      </c>
    </row>
    <row r="108" spans="2:8" x14ac:dyDescent="0.3">
      <c r="D108" s="8" t="b">
        <f t="shared" ref="D108:D112" si="7">IF(D9=1, "100", IF(D9=2, "90", IF(D9=3, "80", IF(D9=4, "70", IF(D9=5, "60", IF(D9=6, "50"))))))</f>
        <v>0</v>
      </c>
      <c r="E108" s="8" t="b">
        <f t="shared" ref="E108:E112" si="8">IF(E9="1/2 box", 0.25*D108, IF(E9="3/4 box", 0.37*D108, IF(E9="1 box", 0.5*D108, IF(E9="1.5 boxes", 0.75*D108, IF(E9="2 boxes", D108, IF(E9="2.5 boxes", 1.25*D108, IF(E9="3 boxes", 1.5*D108)))))))</f>
        <v>0</v>
      </c>
      <c r="H108" s="8">
        <v>200</v>
      </c>
    </row>
    <row r="109" spans="2:8" x14ac:dyDescent="0.3">
      <c r="D109" s="8" t="b">
        <f t="shared" si="7"/>
        <v>0</v>
      </c>
      <c r="E109" s="8" t="b">
        <f t="shared" si="8"/>
        <v>0</v>
      </c>
      <c r="H109" s="8">
        <v>220</v>
      </c>
    </row>
    <row r="110" spans="2:8" x14ac:dyDescent="0.3">
      <c r="D110" s="8" t="b">
        <f t="shared" si="7"/>
        <v>0</v>
      </c>
      <c r="E110" s="8" t="b">
        <f t="shared" si="8"/>
        <v>0</v>
      </c>
      <c r="H110" s="8">
        <v>240</v>
      </c>
    </row>
    <row r="111" spans="2:8" x14ac:dyDescent="0.3">
      <c r="D111" s="8" t="b">
        <f t="shared" si="7"/>
        <v>0</v>
      </c>
      <c r="E111" s="8" t="b">
        <f t="shared" si="8"/>
        <v>0</v>
      </c>
      <c r="H111" s="8">
        <v>260</v>
      </c>
    </row>
    <row r="112" spans="2:8" x14ac:dyDescent="0.3">
      <c r="D112" s="8" t="b">
        <f t="shared" si="7"/>
        <v>0</v>
      </c>
      <c r="E112" s="8" t="b">
        <f t="shared" si="8"/>
        <v>0</v>
      </c>
      <c r="H112" s="8">
        <v>280</v>
      </c>
    </row>
    <row r="113" spans="4:8" x14ac:dyDescent="0.3">
      <c r="H113" s="8">
        <v>300</v>
      </c>
    </row>
    <row r="115" spans="4:8" x14ac:dyDescent="0.3">
      <c r="D115" s="8" t="s">
        <v>243</v>
      </c>
    </row>
  </sheetData>
  <sheetProtection selectLockedCells="1"/>
  <mergeCells count="30">
    <mergeCell ref="B4:C4"/>
    <mergeCell ref="F4:F5"/>
    <mergeCell ref="H13:L13"/>
    <mergeCell ref="J11:J12"/>
    <mergeCell ref="D4:D7"/>
    <mergeCell ref="E4:E7"/>
    <mergeCell ref="I76:J76"/>
    <mergeCell ref="I77:J77"/>
    <mergeCell ref="G82:G84"/>
    <mergeCell ref="I84:J84"/>
    <mergeCell ref="M4:N5"/>
    <mergeCell ref="G14:L14"/>
    <mergeCell ref="J7:K8"/>
    <mergeCell ref="L7:L8"/>
    <mergeCell ref="B71:E71"/>
    <mergeCell ref="K69:N69"/>
    <mergeCell ref="K71:N75"/>
    <mergeCell ref="K70:N70"/>
    <mergeCell ref="K76:N80"/>
    <mergeCell ref="F73:F84"/>
    <mergeCell ref="G79:J80"/>
    <mergeCell ref="B72:E83"/>
    <mergeCell ref="I83:J83"/>
    <mergeCell ref="I82:J82"/>
    <mergeCell ref="K81:N83"/>
    <mergeCell ref="G73:G78"/>
    <mergeCell ref="I78:J78"/>
    <mergeCell ref="I73:J73"/>
    <mergeCell ref="I74:J74"/>
    <mergeCell ref="I75:J75"/>
  </mergeCells>
  <dataValidations count="2">
    <dataValidation type="list" allowBlank="1" showInputMessage="1" showErrorMessage="1" sqref="F14" xr:uid="{00000000-0002-0000-0100-000000000000}">
      <formula1>$F$16:$F$17</formula1>
    </dataValidation>
    <dataValidation type="list" allowBlank="1" showInputMessage="1" showErrorMessage="1" sqref="C14" xr:uid="{00000000-0002-0000-0100-000001000000}">
      <formula1>$F$16:$F$18</formula1>
    </dataValidation>
  </dataValidations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Z115"/>
  <sheetViews>
    <sheetView showRowColHeaders="0" topLeftCell="F1" zoomScale="120" zoomScaleNormal="120" workbookViewId="0">
      <selection activeCell="H7" sqref="H7"/>
    </sheetView>
  </sheetViews>
  <sheetFormatPr defaultColWidth="8.77734375" defaultRowHeight="14.4" x14ac:dyDescent="0.3"/>
  <cols>
    <col min="1" max="1" width="4.88671875" style="8" customWidth="1"/>
    <col min="2" max="4" width="8.77734375" style="8" customWidth="1"/>
    <col min="5" max="5" width="18.44140625" style="8" customWidth="1"/>
    <col min="6" max="6" width="8.77734375" style="8" customWidth="1"/>
    <col min="7" max="7" width="32.77734375" style="8" customWidth="1"/>
    <col min="8" max="11" width="8.77734375" style="8" customWidth="1"/>
    <col min="12" max="12" width="12" style="8" customWidth="1"/>
    <col min="13" max="14" width="8.77734375" style="8" customWidth="1"/>
    <col min="15" max="16384" width="8.77734375" style="8"/>
  </cols>
  <sheetData>
    <row r="4" spans="1:21" x14ac:dyDescent="0.3">
      <c r="A4" s="22"/>
      <c r="B4" s="379" t="s">
        <v>59</v>
      </c>
      <c r="C4" s="379"/>
      <c r="D4" s="381" t="s">
        <v>231</v>
      </c>
      <c r="E4" s="382" t="s">
        <v>232</v>
      </c>
      <c r="F4" s="380" t="s">
        <v>164</v>
      </c>
      <c r="G4" s="23" t="s">
        <v>66</v>
      </c>
      <c r="H4" s="23" t="s">
        <v>18</v>
      </c>
      <c r="I4" s="23" t="s">
        <v>19</v>
      </c>
      <c r="J4" s="22"/>
      <c r="K4" s="22"/>
      <c r="L4" s="52" t="s">
        <v>165</v>
      </c>
      <c r="M4" s="351"/>
      <c r="N4" s="351"/>
    </row>
    <row r="5" spans="1:21" x14ac:dyDescent="0.3">
      <c r="A5" s="22"/>
      <c r="B5" s="23" t="s">
        <v>53</v>
      </c>
      <c r="C5" s="26">
        <f>PRIMARY!M19</f>
        <v>0</v>
      </c>
      <c r="D5" s="381"/>
      <c r="E5" s="381"/>
      <c r="F5" s="380"/>
      <c r="G5" s="77">
        <f>PRIMARY!J9</f>
        <v>0</v>
      </c>
      <c r="H5" s="77">
        <f>PRIMARY!K9</f>
        <v>0</v>
      </c>
      <c r="I5" s="77">
        <f>PRIMARY!L9</f>
        <v>0</v>
      </c>
      <c r="J5" s="22"/>
      <c r="K5" s="22"/>
      <c r="L5" s="53" t="e">
        <f>ROUND(P14,2)</f>
        <v>#DIV/0!</v>
      </c>
      <c r="M5" s="351"/>
      <c r="N5" s="351"/>
      <c r="T5" s="8" t="s">
        <v>274</v>
      </c>
    </row>
    <row r="6" spans="1:21" x14ac:dyDescent="0.3">
      <c r="A6" s="22"/>
      <c r="B6" s="24" t="s">
        <v>52</v>
      </c>
      <c r="C6" s="27">
        <f>PRIMARY!K19</f>
        <v>0</v>
      </c>
      <c r="D6" s="381"/>
      <c r="E6" s="382"/>
      <c r="F6" s="22"/>
      <c r="G6" s="85" t="s">
        <v>166</v>
      </c>
      <c r="H6" s="86">
        <f>PRIMARY!J17-PRIMARY!L17</f>
        <v>0</v>
      </c>
      <c r="I6" s="86">
        <f>PRIMARY!K17</f>
        <v>0</v>
      </c>
      <c r="J6" s="43"/>
      <c r="K6" s="43"/>
      <c r="L6" s="43"/>
      <c r="M6" s="22"/>
      <c r="N6" s="22"/>
      <c r="T6" s="8" t="s">
        <v>275</v>
      </c>
      <c r="U6" s="8" t="s">
        <v>276</v>
      </c>
    </row>
    <row r="7" spans="1:21" ht="14.7" customHeight="1" x14ac:dyDescent="0.3">
      <c r="A7" s="22"/>
      <c r="B7" s="21"/>
      <c r="C7" s="82" t="s">
        <v>167</v>
      </c>
      <c r="D7" s="381"/>
      <c r="E7" s="382"/>
      <c r="F7" s="22"/>
      <c r="G7" s="51" t="s">
        <v>168</v>
      </c>
      <c r="H7" s="87">
        <f>Sheet3!R35</f>
        <v>0</v>
      </c>
      <c r="I7" s="87">
        <f>Sheet3!S35</f>
        <v>0</v>
      </c>
      <c r="J7" s="377" t="s">
        <v>247</v>
      </c>
      <c r="K7" s="377"/>
      <c r="L7" s="378" t="e">
        <f>ABS(E102)</f>
        <v>#VALUE!</v>
      </c>
      <c r="M7" s="22"/>
      <c r="N7" s="22"/>
      <c r="T7" s="8">
        <f>ROUNDUP(E26, 0)</f>
        <v>0</v>
      </c>
    </row>
    <row r="8" spans="1:21" x14ac:dyDescent="0.3">
      <c r="A8" s="22"/>
      <c r="B8" s="95" t="s">
        <v>169</v>
      </c>
      <c r="C8" s="102">
        <f>Sheet3!C14</f>
        <v>0</v>
      </c>
      <c r="D8" s="102">
        <f>Sheet3!D14</f>
        <v>0</v>
      </c>
      <c r="E8" s="102">
        <f>Sheet3!E14</f>
        <v>0</v>
      </c>
      <c r="F8" s="22"/>
      <c r="G8" s="91" t="s">
        <v>253</v>
      </c>
      <c r="H8" s="86">
        <f>PRIMARY!L18</f>
        <v>0</v>
      </c>
      <c r="I8" s="86">
        <f>PRIMARY!M18</f>
        <v>0</v>
      </c>
      <c r="J8" s="377"/>
      <c r="K8" s="377"/>
      <c r="L8" s="378"/>
      <c r="M8" s="22"/>
      <c r="N8" s="22"/>
      <c r="T8" s="8" t="b">
        <f>IF(T7=1, "0.1", IF(T7=2, "0.2", IF(T7=3, "0.25", IF(T7&gt;3, "0.3"))))</f>
        <v>0</v>
      </c>
      <c r="U8" s="8" t="str">
        <f>IF(T7=1, "0.1", "0.2")</f>
        <v>0.2</v>
      </c>
    </row>
    <row r="9" spans="1:21" x14ac:dyDescent="0.3">
      <c r="A9" s="22"/>
      <c r="B9" s="96" t="s">
        <v>170</v>
      </c>
      <c r="C9" s="98">
        <f>Sheet3!C15</f>
        <v>0</v>
      </c>
      <c r="D9" s="98">
        <f>Sheet3!D15</f>
        <v>0</v>
      </c>
      <c r="E9" s="98">
        <f>Sheet3!E15</f>
        <v>0</v>
      </c>
      <c r="F9" s="22"/>
      <c r="G9" s="83" t="s">
        <v>171</v>
      </c>
      <c r="H9" s="84">
        <f>D40</f>
        <v>0</v>
      </c>
      <c r="I9" s="84" t="e">
        <f>E42</f>
        <v>#DIV/0!</v>
      </c>
      <c r="J9" s="22"/>
      <c r="K9" s="44"/>
      <c r="L9" s="43"/>
      <c r="M9" s="22"/>
      <c r="N9" s="22"/>
    </row>
    <row r="10" spans="1:21" x14ac:dyDescent="0.3">
      <c r="A10" s="22"/>
      <c r="B10" s="96" t="s">
        <v>172</v>
      </c>
      <c r="C10" s="98">
        <f>Sheet3!C16</f>
        <v>0</v>
      </c>
      <c r="D10" s="98">
        <f>Sheet3!D16</f>
        <v>0</v>
      </c>
      <c r="E10" s="98">
        <f>Sheet3!E16</f>
        <v>0</v>
      </c>
      <c r="F10" s="22"/>
      <c r="G10" s="83" t="s">
        <v>245</v>
      </c>
      <c r="H10" s="84">
        <f>-D35</f>
        <v>0</v>
      </c>
      <c r="I10" s="84" t="e">
        <f>E37</f>
        <v>#DIV/0!</v>
      </c>
      <c r="J10" s="47"/>
      <c r="K10" s="44"/>
      <c r="L10" s="43"/>
      <c r="M10" s="22"/>
      <c r="N10" s="22"/>
      <c r="T10" s="8" t="s">
        <v>277</v>
      </c>
      <c r="U10" s="8" t="s">
        <v>19</v>
      </c>
    </row>
    <row r="11" spans="1:21" x14ac:dyDescent="0.3">
      <c r="A11" s="22"/>
      <c r="B11" s="96" t="s">
        <v>265</v>
      </c>
      <c r="C11" s="98">
        <f>Sheet3!C17</f>
        <v>0</v>
      </c>
      <c r="D11" s="98">
        <f>Sheet3!D17</f>
        <v>0</v>
      </c>
      <c r="E11" s="98">
        <f>Sheet3!E17</f>
        <v>0</v>
      </c>
      <c r="F11" s="32"/>
      <c r="G11" s="83" t="s">
        <v>246</v>
      </c>
      <c r="H11" s="84" t="e">
        <f>R25</f>
        <v>#DIV/0!</v>
      </c>
      <c r="I11" s="84" t="e">
        <f>R27</f>
        <v>#DIV/0!</v>
      </c>
      <c r="J11" s="368"/>
      <c r="K11" s="44"/>
      <c r="L11" s="43"/>
      <c r="M11" s="22"/>
      <c r="N11" s="22"/>
      <c r="T11" s="8" t="str">
        <f>IF(AND(VALUE(I8)&lt;160, VALUE(I8)&gt;20),"ATR","WTR")</f>
        <v>WTR</v>
      </c>
    </row>
    <row r="12" spans="1:21" x14ac:dyDescent="0.3">
      <c r="A12" s="22"/>
      <c r="B12" s="96" t="s">
        <v>174</v>
      </c>
      <c r="C12" s="98">
        <f>Sheet3!C18</f>
        <v>0</v>
      </c>
      <c r="D12" s="98">
        <f>Sheet3!D18</f>
        <v>0</v>
      </c>
      <c r="E12" s="98">
        <f>Sheet3!E18</f>
        <v>0</v>
      </c>
      <c r="F12" s="43"/>
      <c r="G12" s="54" t="s">
        <v>175</v>
      </c>
      <c r="H12" s="52" t="e">
        <f>-J46</f>
        <v>#DIV/0!</v>
      </c>
      <c r="I12" s="52" t="e">
        <f>IF(C14=1, G16, IF(C14=2, G17, G18))</f>
        <v>#DIV/0!</v>
      </c>
      <c r="J12" s="369"/>
      <c r="K12" s="44"/>
      <c r="L12" s="43"/>
      <c r="M12" s="22"/>
      <c r="N12" s="22"/>
      <c r="T12" s="8" t="b">
        <f>IF(T11="ATR", U8, T8)</f>
        <v>0</v>
      </c>
    </row>
    <row r="13" spans="1:21" x14ac:dyDescent="0.3">
      <c r="A13" s="22"/>
      <c r="B13" s="96" t="s">
        <v>176</v>
      </c>
      <c r="C13" s="98">
        <f>Sheet3!C19</f>
        <v>0</v>
      </c>
      <c r="D13" s="98">
        <f>Sheet3!D19</f>
        <v>0</v>
      </c>
      <c r="E13" s="99">
        <f>Sheet3!E19</f>
        <v>0</v>
      </c>
      <c r="F13" s="22"/>
      <c r="G13" s="90"/>
      <c r="H13" s="373"/>
      <c r="I13" s="373"/>
      <c r="J13" s="373"/>
      <c r="K13" s="373"/>
      <c r="L13" s="373"/>
      <c r="M13" s="22"/>
      <c r="N13" s="22"/>
      <c r="T13" s="8">
        <f>T12*-1</f>
        <v>0</v>
      </c>
      <c r="U13" s="8">
        <f>IF(T11="ATR", 90, I8)</f>
        <v>0</v>
      </c>
    </row>
    <row r="14" spans="1:21" x14ac:dyDescent="0.3">
      <c r="A14" s="22"/>
      <c r="B14" s="97"/>
      <c r="C14" s="100"/>
      <c r="D14" s="101"/>
      <c r="E14" s="88" t="s">
        <v>197</v>
      </c>
      <c r="F14" s="50">
        <v>1</v>
      </c>
      <c r="G14" s="372" t="s">
        <v>198</v>
      </c>
      <c r="H14" s="372"/>
      <c r="I14" s="372"/>
      <c r="J14" s="372"/>
      <c r="K14" s="372"/>
      <c r="L14" s="372"/>
      <c r="M14" t="e">
        <f>ABS(H12)</f>
        <v>#DIV/0!</v>
      </c>
      <c r="N14" t="e">
        <f>(M14-J16)/2</f>
        <v>#DIV/0!</v>
      </c>
      <c r="O14" s="8" t="e">
        <f>G5+N14</f>
        <v>#DIV/0!</v>
      </c>
      <c r="P14" s="8" t="e">
        <f>O14-M15</f>
        <v>#DIV/0!</v>
      </c>
      <c r="T14" s="8">
        <f>IF(T11="ATR", T12, T13)</f>
        <v>0</v>
      </c>
    </row>
    <row r="15" spans="1:21" x14ac:dyDescent="0.3">
      <c r="A15" s="22"/>
      <c r="J15" s="29" t="s">
        <v>177</v>
      </c>
      <c r="M15" s="8">
        <f>(C5-C6)*0.02</f>
        <v>0</v>
      </c>
    </row>
    <row r="16" spans="1:21" x14ac:dyDescent="0.3">
      <c r="A16" s="22"/>
      <c r="F16" s="8">
        <v>1</v>
      </c>
      <c r="G16" s="8">
        <f>I8</f>
        <v>0</v>
      </c>
      <c r="H16" s="8">
        <f>ABS(H6)</f>
        <v>0</v>
      </c>
      <c r="J16" s="8">
        <f>ABS(H5)</f>
        <v>0</v>
      </c>
    </row>
    <row r="17" spans="1:20" x14ac:dyDescent="0.3">
      <c r="A17" s="22"/>
      <c r="F17" s="8">
        <v>2</v>
      </c>
      <c r="G17" s="33">
        <f>I5</f>
        <v>0</v>
      </c>
      <c r="H17" s="8">
        <f>ABS(H7)</f>
        <v>0</v>
      </c>
    </row>
    <row r="18" spans="1:20" x14ac:dyDescent="0.3">
      <c r="A18" s="22"/>
      <c r="D18" s="8">
        <v>120</v>
      </c>
      <c r="F18" s="8">
        <v>3</v>
      </c>
      <c r="G18" s="8" t="e">
        <f>K57</f>
        <v>#DIV/0!</v>
      </c>
    </row>
    <row r="19" spans="1:20" x14ac:dyDescent="0.3">
      <c r="A19" s="22"/>
      <c r="D19" s="8">
        <v>110</v>
      </c>
      <c r="E19" s="8" t="s">
        <v>178</v>
      </c>
      <c r="G19" s="8" t="s">
        <v>179</v>
      </c>
      <c r="H19" s="8" t="s">
        <v>180</v>
      </c>
      <c r="I19" s="8" t="s">
        <v>181</v>
      </c>
      <c r="J19" s="8" t="s">
        <v>182</v>
      </c>
      <c r="N19" s="8" t="s">
        <v>179</v>
      </c>
      <c r="O19" s="8" t="s">
        <v>180</v>
      </c>
      <c r="P19" s="8" t="s">
        <v>181</v>
      </c>
      <c r="Q19" s="8" t="s">
        <v>182</v>
      </c>
    </row>
    <row r="20" spans="1:20" x14ac:dyDescent="0.3">
      <c r="A20" s="22"/>
      <c r="B20" s="8">
        <f>(C5/2.2)*E107/100</f>
        <v>0</v>
      </c>
      <c r="C20" s="8">
        <f t="shared" ref="C20:C25" si="0">B20/15</f>
        <v>0</v>
      </c>
      <c r="D20" s="8">
        <v>100</v>
      </c>
      <c r="E20" s="8">
        <f t="shared" ref="E20:E25" si="1">ROUND(C20,2)</f>
        <v>0</v>
      </c>
      <c r="F20" s="8">
        <f t="shared" ref="F20:F25" si="2">C8</f>
        <v>0</v>
      </c>
      <c r="G20" s="8">
        <f>F20*2</f>
        <v>0</v>
      </c>
      <c r="H20" s="8">
        <f>RADIANS(G20)</f>
        <v>0</v>
      </c>
      <c r="I20" s="8">
        <f>E20*(COS(H20))</f>
        <v>0</v>
      </c>
      <c r="J20" s="8">
        <f>E20*(SIN(H20))</f>
        <v>0</v>
      </c>
      <c r="K20" s="8" t="s">
        <v>183</v>
      </c>
      <c r="L20" s="8">
        <f>J16</f>
        <v>0</v>
      </c>
      <c r="M20" s="8">
        <f>I5</f>
        <v>0</v>
      </c>
      <c r="N20" s="8">
        <f>M20*2</f>
        <v>0</v>
      </c>
      <c r="O20" s="8">
        <f>RADIANS(N20)</f>
        <v>0</v>
      </c>
      <c r="P20" s="8">
        <f>L20*(COS(O20))</f>
        <v>0</v>
      </c>
      <c r="Q20" s="8">
        <f>L20*(SIN(O20))</f>
        <v>0</v>
      </c>
    </row>
    <row r="21" spans="1:20" x14ac:dyDescent="0.3">
      <c r="A21" s="22"/>
      <c r="B21" s="8">
        <f>(C5/2.2)*E108/100</f>
        <v>0</v>
      </c>
      <c r="C21" s="8">
        <f t="shared" si="0"/>
        <v>0</v>
      </c>
      <c r="D21" s="8">
        <v>90</v>
      </c>
      <c r="E21" s="8">
        <f t="shared" si="1"/>
        <v>0</v>
      </c>
      <c r="F21" s="8">
        <f t="shared" si="2"/>
        <v>0</v>
      </c>
      <c r="G21" s="8">
        <f t="shared" ref="G21:G27" si="3">F21*2</f>
        <v>0</v>
      </c>
      <c r="H21" s="8">
        <f t="shared" ref="H21:H27" si="4">RADIANS(G21)</f>
        <v>0</v>
      </c>
      <c r="I21" s="8">
        <f t="shared" ref="I21:I27" si="5">E21*(COS(H21))</f>
        <v>0</v>
      </c>
      <c r="J21" s="8">
        <f t="shared" ref="J21:J27" si="6">E21*(SIN(H21))</f>
        <v>0</v>
      </c>
      <c r="K21" s="8" t="s">
        <v>184</v>
      </c>
      <c r="L21" s="8">
        <f>-I35</f>
        <v>0</v>
      </c>
      <c r="M21" s="8" t="e">
        <f>J37</f>
        <v>#DIV/0!</v>
      </c>
      <c r="N21" s="8" t="e">
        <f>M21*2</f>
        <v>#DIV/0!</v>
      </c>
      <c r="O21" s="8" t="e">
        <f>RADIANS(N21)</f>
        <v>#DIV/0!</v>
      </c>
      <c r="P21" s="8" t="e">
        <f>L21*(COS(O21))</f>
        <v>#DIV/0!</v>
      </c>
      <c r="Q21" s="8" t="e">
        <f>L21*(SIN(O21))</f>
        <v>#DIV/0!</v>
      </c>
    </row>
    <row r="22" spans="1:20" x14ac:dyDescent="0.3">
      <c r="A22" s="22"/>
      <c r="B22" s="8">
        <f>(C5/2.2)*E109/100</f>
        <v>0</v>
      </c>
      <c r="C22" s="8">
        <f t="shared" si="0"/>
        <v>0</v>
      </c>
      <c r="D22" s="8">
        <v>80</v>
      </c>
      <c r="E22" s="8">
        <f t="shared" si="1"/>
        <v>0</v>
      </c>
      <c r="F22" s="8">
        <f t="shared" si="2"/>
        <v>0</v>
      </c>
      <c r="G22" s="8">
        <f t="shared" si="3"/>
        <v>0</v>
      </c>
      <c r="H22" s="8">
        <f t="shared" si="4"/>
        <v>0</v>
      </c>
      <c r="I22" s="8">
        <f t="shared" si="5"/>
        <v>0</v>
      </c>
      <c r="J22" s="8">
        <f t="shared" si="6"/>
        <v>0</v>
      </c>
    </row>
    <row r="23" spans="1:20" x14ac:dyDescent="0.3">
      <c r="A23" s="22"/>
      <c r="B23" s="8">
        <f>(C5/2.2)*E110/100</f>
        <v>0</v>
      </c>
      <c r="C23" s="8">
        <f t="shared" si="0"/>
        <v>0</v>
      </c>
      <c r="D23" s="8">
        <v>70</v>
      </c>
      <c r="E23" s="8">
        <f t="shared" si="1"/>
        <v>0</v>
      </c>
      <c r="F23" s="8">
        <f t="shared" si="2"/>
        <v>0</v>
      </c>
      <c r="G23" s="8">
        <f t="shared" si="3"/>
        <v>0</v>
      </c>
      <c r="H23" s="8">
        <f t="shared" si="4"/>
        <v>0</v>
      </c>
      <c r="I23" s="8">
        <f t="shared" si="5"/>
        <v>0</v>
      </c>
      <c r="J23" s="8">
        <f t="shared" si="6"/>
        <v>0</v>
      </c>
      <c r="P23" s="8" t="e">
        <f>SUM(P20:P22)</f>
        <v>#DIV/0!</v>
      </c>
      <c r="Q23" s="8" t="e">
        <f>SUM(Q20:Q22)</f>
        <v>#DIV/0!</v>
      </c>
    </row>
    <row r="24" spans="1:20" x14ac:dyDescent="0.3">
      <c r="A24" s="22"/>
      <c r="B24" s="8">
        <f>(C5/2.2)*E111/100</f>
        <v>0</v>
      </c>
      <c r="C24" s="8">
        <f t="shared" si="0"/>
        <v>0</v>
      </c>
      <c r="D24" s="8">
        <v>60</v>
      </c>
      <c r="E24" s="8">
        <f t="shared" si="1"/>
        <v>0</v>
      </c>
      <c r="F24" s="8">
        <f t="shared" si="2"/>
        <v>0</v>
      </c>
      <c r="G24" s="8">
        <f t="shared" si="3"/>
        <v>0</v>
      </c>
      <c r="H24" s="8">
        <f t="shared" si="4"/>
        <v>0</v>
      </c>
      <c r="I24" s="8">
        <f t="shared" si="5"/>
        <v>0</v>
      </c>
      <c r="J24" s="8">
        <f t="shared" si="6"/>
        <v>0</v>
      </c>
      <c r="O24" s="18"/>
      <c r="P24" s="18"/>
      <c r="Q24" s="18"/>
      <c r="R24" s="18"/>
      <c r="S24" s="18"/>
      <c r="T24" s="18"/>
    </row>
    <row r="25" spans="1:20" x14ac:dyDescent="0.3">
      <c r="A25" s="22"/>
      <c r="B25" s="8">
        <f>(C5/2.2)*E112/100</f>
        <v>0</v>
      </c>
      <c r="C25" s="8">
        <f t="shared" si="0"/>
        <v>0</v>
      </c>
      <c r="D25" s="8">
        <v>50</v>
      </c>
      <c r="E25" s="8">
        <f t="shared" si="1"/>
        <v>0</v>
      </c>
      <c r="F25" s="8">
        <f t="shared" si="2"/>
        <v>0</v>
      </c>
      <c r="G25" s="8">
        <f t="shared" si="3"/>
        <v>0</v>
      </c>
      <c r="H25" s="8">
        <f t="shared" si="4"/>
        <v>0</v>
      </c>
      <c r="I25" s="8">
        <f t="shared" si="5"/>
        <v>0</v>
      </c>
      <c r="J25" s="8">
        <f t="shared" si="6"/>
        <v>0</v>
      </c>
      <c r="O25" s="18" t="s">
        <v>178</v>
      </c>
      <c r="P25" s="18" t="e">
        <f>SQRT(P23^2+Q23^2)</f>
        <v>#DIV/0!</v>
      </c>
      <c r="Q25" s="18"/>
      <c r="R25" s="18" t="e">
        <f>ROUND(P25,2)</f>
        <v>#DIV/0!</v>
      </c>
      <c r="S25" s="18" t="e">
        <f>1/2*R25</f>
        <v>#DIV/0!</v>
      </c>
      <c r="T25" s="18" t="e">
        <f>ROUND(S25,2)</f>
        <v>#DIV/0!</v>
      </c>
    </row>
    <row r="26" spans="1:20" x14ac:dyDescent="0.3">
      <c r="A26" s="22"/>
      <c r="D26" s="8" t="s">
        <v>185</v>
      </c>
      <c r="E26" s="8">
        <f>IF('Sheet3 (2)'!B19="ALTERNATE TOPOGRAPHY", ABS(H6), ABS(H8))</f>
        <v>0</v>
      </c>
      <c r="F26" s="8">
        <f>I8</f>
        <v>0</v>
      </c>
      <c r="G26" s="8">
        <f t="shared" si="3"/>
        <v>0</v>
      </c>
      <c r="H26" s="8">
        <f t="shared" si="4"/>
        <v>0</v>
      </c>
      <c r="I26" s="8">
        <f t="shared" si="5"/>
        <v>0</v>
      </c>
      <c r="J26" s="8">
        <f t="shared" si="6"/>
        <v>0</v>
      </c>
      <c r="O26" s="18" t="s">
        <v>186</v>
      </c>
      <c r="P26" s="18" t="e">
        <f>DEGREES(ATAN(Q23/P23))</f>
        <v>#DIV/0!</v>
      </c>
      <c r="Q26" s="18"/>
      <c r="R26" s="18"/>
      <c r="S26" s="18"/>
      <c r="T26" s="18"/>
    </row>
    <row r="27" spans="1:20" x14ac:dyDescent="0.3">
      <c r="A27" s="22"/>
      <c r="D27" s="8" t="s">
        <v>187</v>
      </c>
      <c r="E27" s="8">
        <f>H7</f>
        <v>0</v>
      </c>
      <c r="F27" s="8">
        <f>I7</f>
        <v>0</v>
      </c>
      <c r="G27" s="8">
        <f t="shared" si="3"/>
        <v>0</v>
      </c>
      <c r="H27" s="8">
        <f t="shared" si="4"/>
        <v>0</v>
      </c>
      <c r="I27" s="8">
        <f t="shared" si="5"/>
        <v>0</v>
      </c>
      <c r="J27" s="8">
        <f t="shared" si="6"/>
        <v>0</v>
      </c>
      <c r="O27" s="18" t="s">
        <v>188</v>
      </c>
      <c r="P27" s="18" t="e">
        <f>P26/2</f>
        <v>#DIV/0!</v>
      </c>
      <c r="Q27" s="18" t="e">
        <f>IF(P23&lt;0, P27+90, IF(AND(P23&gt;0, Q23&lt;0), P27+180, P27))</f>
        <v>#DIV/0!</v>
      </c>
      <c r="R27" s="18" t="e">
        <f>ROUND(Q27,0)</f>
        <v>#DIV/0!</v>
      </c>
      <c r="S27" s="18"/>
      <c r="T27" s="18"/>
    </row>
    <row r="28" spans="1:20" x14ac:dyDescent="0.3">
      <c r="A28" s="22"/>
      <c r="I28" s="8">
        <f>SUM(I20:I27)</f>
        <v>0</v>
      </c>
      <c r="J28" s="8">
        <f>SUM(J20:J27)</f>
        <v>0</v>
      </c>
      <c r="O28" s="18"/>
      <c r="P28" s="18"/>
      <c r="Q28" s="18"/>
      <c r="R28" s="18"/>
      <c r="S28" s="18"/>
      <c r="T28" s="18"/>
    </row>
    <row r="29" spans="1:20" x14ac:dyDescent="0.3">
      <c r="A29" s="22"/>
      <c r="I29" s="8">
        <f>SUM(I20:I25)</f>
        <v>0</v>
      </c>
      <c r="J29" s="8">
        <f>SUM(J20:J25)</f>
        <v>0</v>
      </c>
      <c r="O29" s="18"/>
      <c r="P29" s="18"/>
      <c r="Q29" s="18"/>
      <c r="R29" s="18"/>
      <c r="S29" s="18"/>
      <c r="T29" s="18" t="s">
        <v>189</v>
      </c>
    </row>
    <row r="30" spans="1:20" x14ac:dyDescent="0.3">
      <c r="A30" s="22"/>
      <c r="I30" s="8">
        <f>SUM(I26:I27)</f>
        <v>0</v>
      </c>
      <c r="J30" s="8">
        <f>SUM(J26:J27)</f>
        <v>0</v>
      </c>
    </row>
    <row r="31" spans="1:20" x14ac:dyDescent="0.3">
      <c r="A31" s="22"/>
      <c r="E31" s="8" t="e">
        <f>T25</f>
        <v>#DIV/0!</v>
      </c>
      <c r="F31" s="8" t="e">
        <f>R27</f>
        <v>#DIV/0!</v>
      </c>
      <c r="G31" s="8" t="e">
        <f>2*F31</f>
        <v>#DIV/0!</v>
      </c>
      <c r="H31" s="8" t="e">
        <f>RADIANS(G31)</f>
        <v>#DIV/0!</v>
      </c>
      <c r="I31" s="8" t="e">
        <f>E31*(COS(H31))</f>
        <v>#DIV/0!</v>
      </c>
      <c r="J31" s="8" t="e">
        <f>E31*(SIN(H31))</f>
        <v>#DIV/0!</v>
      </c>
    </row>
    <row r="32" spans="1:20" x14ac:dyDescent="0.3">
      <c r="A32" s="22"/>
      <c r="I32" s="8" t="e">
        <f>SUM(I30:I31)</f>
        <v>#DIV/0!</v>
      </c>
      <c r="J32" s="8" t="e">
        <f>SUM(J30:J31)</f>
        <v>#DIV/0!</v>
      </c>
    </row>
    <row r="33" spans="1:15" x14ac:dyDescent="0.3">
      <c r="A33" s="22"/>
      <c r="B33" s="18"/>
      <c r="C33" s="18"/>
      <c r="D33" s="18" t="s">
        <v>190</v>
      </c>
      <c r="E33" s="18"/>
      <c r="F33" s="18"/>
    </row>
    <row r="34" spans="1:15" x14ac:dyDescent="0.3">
      <c r="A34" s="22"/>
      <c r="B34" s="18"/>
      <c r="C34" s="18"/>
      <c r="D34" s="18"/>
      <c r="E34" s="18"/>
      <c r="F34" s="18"/>
      <c r="L34" s="8" t="s">
        <v>178</v>
      </c>
      <c r="M34" s="8" t="e">
        <f>SQRT(I32^2+J32^2)</f>
        <v>#DIV/0!</v>
      </c>
      <c r="N34" s="8" t="e">
        <f>ROUND(M34,2)</f>
        <v>#DIV/0!</v>
      </c>
    </row>
    <row r="35" spans="1:15" x14ac:dyDescent="0.3">
      <c r="A35" s="22"/>
      <c r="B35" s="18" t="s">
        <v>178</v>
      </c>
      <c r="C35" s="18">
        <f>SQRT(I30^2+J30^2)</f>
        <v>0</v>
      </c>
      <c r="D35" s="18">
        <f>ROUND(C35,2)</f>
        <v>0</v>
      </c>
      <c r="E35" s="18"/>
      <c r="F35" s="18"/>
      <c r="G35" s="8" t="s">
        <v>178</v>
      </c>
      <c r="H35" s="8">
        <f>SQRT(I28^2+J28^2)</f>
        <v>0</v>
      </c>
      <c r="I35" s="8">
        <f>ROUND(H35,2)</f>
        <v>0</v>
      </c>
      <c r="L35" s="8" t="s">
        <v>186</v>
      </c>
      <c r="M35" s="8" t="e">
        <f>DEGREES(ATAN(J32/I32))</f>
        <v>#DIV/0!</v>
      </c>
    </row>
    <row r="36" spans="1:15" x14ac:dyDescent="0.3">
      <c r="A36" s="22"/>
      <c r="B36" s="18" t="s">
        <v>186</v>
      </c>
      <c r="C36" s="18" t="e">
        <f>DEGREES(ATAN(J30/I30))</f>
        <v>#DIV/0!</v>
      </c>
      <c r="D36" s="18"/>
      <c r="E36" s="18"/>
      <c r="F36" s="18"/>
      <c r="G36" s="8" t="s">
        <v>186</v>
      </c>
      <c r="H36" s="8" t="e">
        <f>DEGREES(ATAN(J28/I28))</f>
        <v>#DIV/0!</v>
      </c>
      <c r="L36" s="8" t="s">
        <v>188</v>
      </c>
      <c r="M36" s="8" t="e">
        <f>M35/2</f>
        <v>#DIV/0!</v>
      </c>
      <c r="N36" s="8" t="e">
        <f>ROUND(M36,0)</f>
        <v>#DIV/0!</v>
      </c>
      <c r="O36" s="8" t="e">
        <f>IF(I32&lt;0, N36+90, IF(AND(I32&gt;0, J32&lt;0), N36+180, N36))</f>
        <v>#DIV/0!</v>
      </c>
    </row>
    <row r="37" spans="1:15" x14ac:dyDescent="0.3">
      <c r="A37" s="22"/>
      <c r="B37" s="18" t="s">
        <v>188</v>
      </c>
      <c r="C37" s="18" t="e">
        <f>C36/2</f>
        <v>#DIV/0!</v>
      </c>
      <c r="D37" s="18" t="e">
        <f>ROUND(C37,0)</f>
        <v>#DIV/0!</v>
      </c>
      <c r="E37" s="18" t="e">
        <f>IF(I30&lt;0, D37+90, IF(AND(I30&gt;0, J30&lt;0), D37+180, D37))</f>
        <v>#DIV/0!</v>
      </c>
      <c r="F37" s="18"/>
      <c r="G37" s="8" t="s">
        <v>188</v>
      </c>
      <c r="H37" s="8" t="e">
        <f>H36/2</f>
        <v>#DIV/0!</v>
      </c>
      <c r="I37" s="8" t="e">
        <f>ROUND(H37,0)</f>
        <v>#DIV/0!</v>
      </c>
      <c r="J37" s="8" t="e">
        <f>IF(I28&lt;0, I37+90, IF(AND(I28&gt;0, J28&lt;0), I37+180, I37))</f>
        <v>#DIV/0!</v>
      </c>
    </row>
    <row r="38" spans="1:15" x14ac:dyDescent="0.3">
      <c r="A38" s="22"/>
    </row>
    <row r="39" spans="1:15" x14ac:dyDescent="0.3">
      <c r="A39" s="22"/>
    </row>
    <row r="40" spans="1:15" x14ac:dyDescent="0.3">
      <c r="A40" s="22"/>
      <c r="B40" s="18" t="s">
        <v>178</v>
      </c>
      <c r="C40" s="18">
        <f>SQRT(I29^2+J29^2)</f>
        <v>0</v>
      </c>
      <c r="D40" s="18">
        <f>ROUND(C40,2)</f>
        <v>0</v>
      </c>
      <c r="E40" s="18"/>
      <c r="F40" s="18"/>
    </row>
    <row r="41" spans="1:15" x14ac:dyDescent="0.3">
      <c r="A41" s="22"/>
      <c r="B41" s="18" t="s">
        <v>186</v>
      </c>
      <c r="C41" s="18" t="e">
        <f>DEGREES(ATAN(J29/I29))</f>
        <v>#DIV/0!</v>
      </c>
      <c r="D41" s="18"/>
      <c r="E41" s="18"/>
      <c r="F41" s="18"/>
    </row>
    <row r="42" spans="1:15" x14ac:dyDescent="0.3">
      <c r="A42" s="22"/>
      <c r="B42" s="18" t="s">
        <v>188</v>
      </c>
      <c r="C42" s="18" t="e">
        <f>C41/2</f>
        <v>#DIV/0!</v>
      </c>
      <c r="D42" s="18" t="e">
        <f>ROUND(C42,0)</f>
        <v>#DIV/0!</v>
      </c>
      <c r="E42" s="18" t="e">
        <f>IF(I29&lt;0, D42+90, IF(AND(I29&gt;0, J29&lt;0), D42+180, D42))</f>
        <v>#DIV/0!</v>
      </c>
      <c r="F42" s="18"/>
      <c r="H42" s="18" t="e">
        <f>E31</f>
        <v>#DIV/0!</v>
      </c>
      <c r="I42" s="18" t="e">
        <f>F31</f>
        <v>#DIV/0!</v>
      </c>
      <c r="J42" s="18" t="e">
        <f>2*I42</f>
        <v>#DIV/0!</v>
      </c>
      <c r="K42" s="18" t="e">
        <f>RADIANS(J42)</f>
        <v>#DIV/0!</v>
      </c>
      <c r="L42" s="18" t="e">
        <f>H42*(COS(K42))</f>
        <v>#DIV/0!</v>
      </c>
      <c r="M42" s="18" t="e">
        <f>H42*(SIN(K42))</f>
        <v>#DIV/0!</v>
      </c>
    </row>
    <row r="43" spans="1:15" x14ac:dyDescent="0.3">
      <c r="A43" s="22"/>
      <c r="B43" s="18"/>
      <c r="C43" s="18"/>
      <c r="D43" s="18"/>
      <c r="E43" s="18"/>
      <c r="F43" s="18"/>
      <c r="H43" s="18">
        <f>D35</f>
        <v>0</v>
      </c>
      <c r="I43" s="18" t="e">
        <f>E37</f>
        <v>#DIV/0!</v>
      </c>
      <c r="J43" s="18" t="e">
        <f>2*I43</f>
        <v>#DIV/0!</v>
      </c>
      <c r="K43" s="18" t="e">
        <f>RADIANS(J43)</f>
        <v>#DIV/0!</v>
      </c>
      <c r="L43" s="18" t="e">
        <f>H43*(COS(K43))</f>
        <v>#DIV/0!</v>
      </c>
      <c r="M43" s="18" t="e">
        <f>H43*(SIN(K43))</f>
        <v>#DIV/0!</v>
      </c>
    </row>
    <row r="44" spans="1:15" x14ac:dyDescent="0.3">
      <c r="A44" s="22"/>
      <c r="B44" s="18"/>
      <c r="C44" s="18"/>
      <c r="D44" s="18"/>
      <c r="E44" s="18"/>
      <c r="F44" s="18" t="s">
        <v>191</v>
      </c>
      <c r="H44" s="18"/>
      <c r="I44" s="18"/>
      <c r="J44" s="18"/>
      <c r="K44" s="18"/>
      <c r="L44" s="18" t="e">
        <f>SUM(L42:L43)</f>
        <v>#DIV/0!</v>
      </c>
      <c r="M44" s="18" t="e">
        <f>SUM(M42:M43)</f>
        <v>#DIV/0!</v>
      </c>
    </row>
    <row r="45" spans="1:15" x14ac:dyDescent="0.3">
      <c r="A45" s="22"/>
      <c r="H45" s="18"/>
      <c r="I45" s="18"/>
      <c r="J45" s="18"/>
      <c r="K45" s="18"/>
      <c r="L45" s="18"/>
      <c r="M45" s="18"/>
    </row>
    <row r="46" spans="1:15" x14ac:dyDescent="0.3">
      <c r="A46" s="22"/>
      <c r="H46" s="18" t="s">
        <v>178</v>
      </c>
      <c r="I46" s="18" t="e">
        <f>SQRT(L44^2+M44^2)</f>
        <v>#DIV/0!</v>
      </c>
      <c r="J46" s="18" t="e">
        <f>ROUND(I46,2)</f>
        <v>#DIV/0!</v>
      </c>
      <c r="K46" s="18"/>
      <c r="L46" s="18"/>
      <c r="M46" s="18"/>
    </row>
    <row r="47" spans="1:15" x14ac:dyDescent="0.3">
      <c r="A47" s="22"/>
      <c r="H47" s="18" t="s">
        <v>186</v>
      </c>
      <c r="I47" s="18" t="e">
        <f>DEGREES(ATAN(M44/L44))</f>
        <v>#DIV/0!</v>
      </c>
      <c r="J47" s="18"/>
      <c r="K47" s="18"/>
      <c r="L47" s="18"/>
      <c r="M47" s="18"/>
    </row>
    <row r="48" spans="1:15" x14ac:dyDescent="0.3">
      <c r="A48" s="22"/>
      <c r="D48" s="8">
        <v>50</v>
      </c>
      <c r="H48" s="18" t="s">
        <v>188</v>
      </c>
      <c r="I48" s="18" t="e">
        <f>I47/2</f>
        <v>#DIV/0!</v>
      </c>
      <c r="J48" s="18" t="e">
        <f>ROUND(I48,0)</f>
        <v>#DIV/0!</v>
      </c>
      <c r="K48" s="18" t="e">
        <f>IF(L44&lt;0, J48+90, IF(AND(L44&gt;0, M44&lt;0), J48+180, J48))</f>
        <v>#DIV/0!</v>
      </c>
      <c r="L48" s="18"/>
      <c r="M48" s="18" t="s">
        <v>193</v>
      </c>
    </row>
    <row r="49" spans="1:13" x14ac:dyDescent="0.3">
      <c r="A49" s="22"/>
      <c r="D49" s="8">
        <v>60</v>
      </c>
    </row>
    <row r="50" spans="1:13" x14ac:dyDescent="0.3">
      <c r="A50" s="22"/>
      <c r="D50" s="8">
        <v>70</v>
      </c>
    </row>
    <row r="51" spans="1:13" x14ac:dyDescent="0.3">
      <c r="A51" s="22"/>
      <c r="D51" s="8">
        <v>80</v>
      </c>
    </row>
    <row r="52" spans="1:13" x14ac:dyDescent="0.3">
      <c r="A52" s="22"/>
      <c r="D52" s="8">
        <v>90</v>
      </c>
      <c r="H52" s="18">
        <f>D35</f>
        <v>0</v>
      </c>
      <c r="I52" s="18" t="e">
        <f>E37*2</f>
        <v>#DIV/0!</v>
      </c>
      <c r="J52" s="18" t="e">
        <f>RADIANS(I52)</f>
        <v>#DIV/0!</v>
      </c>
      <c r="K52" s="18" t="e">
        <f>H52*(COS(J52))</f>
        <v>#DIV/0!</v>
      </c>
      <c r="L52" s="18" t="e">
        <f>H52*(SIN(J52))</f>
        <v>#DIV/0!</v>
      </c>
      <c r="M52" s="18"/>
    </row>
    <row r="53" spans="1:13" x14ac:dyDescent="0.3">
      <c r="A53" s="22"/>
      <c r="D53" s="8">
        <v>100</v>
      </c>
      <c r="H53" s="18" t="e">
        <f>P25</f>
        <v>#DIV/0!</v>
      </c>
      <c r="I53" s="18" t="e">
        <f>R27*2</f>
        <v>#DIV/0!</v>
      </c>
      <c r="J53" s="18" t="e">
        <f>RADIANS(I53)</f>
        <v>#DIV/0!</v>
      </c>
      <c r="K53" s="18" t="e">
        <f>H53*(COS(J53))</f>
        <v>#DIV/0!</v>
      </c>
      <c r="L53" s="18" t="e">
        <f>H53*(SIN(J53))</f>
        <v>#DIV/0!</v>
      </c>
      <c r="M53" s="18"/>
    </row>
    <row r="54" spans="1:13" x14ac:dyDescent="0.3">
      <c r="A54" s="22"/>
      <c r="D54" s="8">
        <v>110</v>
      </c>
      <c r="H54" s="18"/>
      <c r="I54" s="18"/>
      <c r="J54" s="18"/>
      <c r="K54" s="18" t="e">
        <f>SUM(K52:K53)</f>
        <v>#DIV/0!</v>
      </c>
      <c r="L54" s="18" t="e">
        <f>SUM(L52:L53)</f>
        <v>#DIV/0!</v>
      </c>
      <c r="M54" s="18"/>
    </row>
    <row r="55" spans="1:13" x14ac:dyDescent="0.3">
      <c r="A55" s="22"/>
      <c r="D55" s="8">
        <v>120</v>
      </c>
      <c r="H55" s="18"/>
      <c r="I55" s="18"/>
      <c r="J55" s="18"/>
      <c r="K55" s="18"/>
      <c r="L55" s="18"/>
      <c r="M55" s="18"/>
    </row>
    <row r="56" spans="1:13" x14ac:dyDescent="0.3">
      <c r="A56" s="22"/>
      <c r="D56" s="8">
        <v>140</v>
      </c>
      <c r="H56" s="18" t="s">
        <v>178</v>
      </c>
      <c r="I56" s="18" t="e">
        <f>SQRT(K54^2+L54^2)</f>
        <v>#DIV/0!</v>
      </c>
      <c r="J56" s="18"/>
      <c r="K56" s="18"/>
      <c r="L56" s="18"/>
      <c r="M56" s="18"/>
    </row>
    <row r="57" spans="1:13" x14ac:dyDescent="0.3">
      <c r="A57" s="22"/>
      <c r="D57" s="8">
        <v>160</v>
      </c>
      <c r="H57" s="18" t="s">
        <v>186</v>
      </c>
      <c r="I57" s="18" t="e">
        <f>DEGREES(ATAN(L54/K54))</f>
        <v>#DIV/0!</v>
      </c>
      <c r="J57" s="18"/>
      <c r="K57" s="18" t="e">
        <f>IF(K54&lt;0, J58+90, IF(AND(K54&gt;0, L54&lt;0), J58+180, J58))</f>
        <v>#DIV/0!</v>
      </c>
      <c r="L57" s="18"/>
      <c r="M57" s="18"/>
    </row>
    <row r="58" spans="1:13" x14ac:dyDescent="0.3">
      <c r="A58" s="22"/>
      <c r="D58" s="8">
        <v>180</v>
      </c>
      <c r="H58" s="18" t="s">
        <v>188</v>
      </c>
      <c r="I58" s="18" t="e">
        <f>I57/2</f>
        <v>#DIV/0!</v>
      </c>
      <c r="J58" s="18" t="e">
        <f>ROUND(I58,0)</f>
        <v>#DIV/0!</v>
      </c>
      <c r="K58" s="18"/>
      <c r="L58" s="18"/>
      <c r="M58" s="18" t="s">
        <v>192</v>
      </c>
    </row>
    <row r="59" spans="1:13" x14ac:dyDescent="0.3">
      <c r="A59" s="22"/>
      <c r="D59" s="8">
        <v>200</v>
      </c>
    </row>
    <row r="60" spans="1:13" x14ac:dyDescent="0.3">
      <c r="A60" s="22"/>
      <c r="D60" s="8">
        <v>220</v>
      </c>
    </row>
    <row r="61" spans="1:13" x14ac:dyDescent="0.3">
      <c r="A61" s="22"/>
      <c r="D61" s="8">
        <v>240</v>
      </c>
      <c r="H61" s="8">
        <f>ABS(H5)</f>
        <v>0</v>
      </c>
      <c r="I61" s="8">
        <f>I5*2</f>
        <v>0</v>
      </c>
      <c r="J61" s="8">
        <f>RADIANS(I61)</f>
        <v>0</v>
      </c>
      <c r="K61" s="8">
        <f>H61*(COS(J61))</f>
        <v>0</v>
      </c>
      <c r="L61" s="8">
        <f>H61*(SIN(J61))</f>
        <v>0</v>
      </c>
    </row>
    <row r="62" spans="1:13" x14ac:dyDescent="0.3">
      <c r="A62" s="22"/>
      <c r="H62" s="8">
        <f>-H9</f>
        <v>0</v>
      </c>
      <c r="I62" s="8" t="e">
        <f>I9*2</f>
        <v>#DIV/0!</v>
      </c>
      <c r="J62" s="8" t="e">
        <f>RADIANS(I62)</f>
        <v>#DIV/0!</v>
      </c>
      <c r="K62" s="8" t="e">
        <f>H62*(COS(J62))</f>
        <v>#DIV/0!</v>
      </c>
      <c r="L62" s="8" t="e">
        <f>H62*(SIN(J62))</f>
        <v>#DIV/0!</v>
      </c>
    </row>
    <row r="63" spans="1:13" x14ac:dyDescent="0.3">
      <c r="A63" s="22"/>
      <c r="K63" s="8" t="e">
        <f>SUM(K61:K62)</f>
        <v>#DIV/0!</v>
      </c>
      <c r="L63" s="8" t="e">
        <f>SUM(L61:L62)</f>
        <v>#DIV/0!</v>
      </c>
    </row>
    <row r="64" spans="1:13" x14ac:dyDescent="0.3">
      <c r="A64" s="22"/>
    </row>
    <row r="65" spans="1:26" x14ac:dyDescent="0.3">
      <c r="A65" s="22"/>
      <c r="D65" s="8" t="e">
        <f>(J65-J16)/2</f>
        <v>#DIV/0!</v>
      </c>
      <c r="E65" s="33" t="e">
        <f>G5+D65</f>
        <v>#DIV/0!</v>
      </c>
      <c r="F65" s="33" t="e">
        <f>E65-M15</f>
        <v>#DIV/0!</v>
      </c>
      <c r="H65" s="8" t="s">
        <v>178</v>
      </c>
      <c r="I65" s="8" t="e">
        <f>SQRT(K63^2+L63^2)</f>
        <v>#DIV/0!</v>
      </c>
      <c r="J65" s="8" t="e">
        <f>ROUNDDOWN(I65,2)</f>
        <v>#DIV/0!</v>
      </c>
    </row>
    <row r="66" spans="1:26" x14ac:dyDescent="0.3">
      <c r="A66" s="22"/>
      <c r="F66" s="33" t="e">
        <f>ROUND(F65,2)</f>
        <v>#DIV/0!</v>
      </c>
      <c r="H66" s="8" t="s">
        <v>186</v>
      </c>
      <c r="I66" s="8" t="e">
        <f>DEGREES(ATAN(L63/K63))</f>
        <v>#DIV/0!</v>
      </c>
    </row>
    <row r="67" spans="1:26" ht="14.7" customHeight="1" x14ac:dyDescent="0.3">
      <c r="A67" s="22"/>
      <c r="H67" s="8" t="s">
        <v>188</v>
      </c>
      <c r="I67" s="8" t="e">
        <f>I66/2</f>
        <v>#DIV/0!</v>
      </c>
      <c r="J67" s="8" t="e">
        <f>ROUND(I67,0)</f>
        <v>#DIV/0!</v>
      </c>
      <c r="K67" s="8" t="e">
        <f>IF(K63&lt;0, J67+90, IF(AND(K63&gt;0, L63&lt;0), J67+180, J67))</f>
        <v>#DIV/0!</v>
      </c>
      <c r="M67" s="8" t="s">
        <v>194</v>
      </c>
    </row>
    <row r="68" spans="1:26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4.7" customHeight="1" x14ac:dyDescent="0.3">
      <c r="A69" s="22"/>
      <c r="B69" s="62" t="s">
        <v>195</v>
      </c>
      <c r="C69" s="59" t="s">
        <v>66</v>
      </c>
      <c r="D69" s="59" t="s">
        <v>18</v>
      </c>
      <c r="E69" s="59" t="s">
        <v>19</v>
      </c>
      <c r="F69" s="58"/>
      <c r="G69" s="38"/>
      <c r="H69" s="37" t="s">
        <v>66</v>
      </c>
      <c r="I69" s="37" t="s">
        <v>18</v>
      </c>
      <c r="J69" s="66" t="s">
        <v>19</v>
      </c>
      <c r="K69" s="374" t="s">
        <v>212</v>
      </c>
      <c r="L69" s="375"/>
      <c r="M69" s="375"/>
      <c r="N69" s="376"/>
      <c r="O69" s="35"/>
      <c r="P69" s="35"/>
      <c r="Q69" s="35"/>
      <c r="R69" s="35"/>
      <c r="S69" s="35"/>
      <c r="T69" s="35"/>
      <c r="U69" s="35"/>
    </row>
    <row r="70" spans="1:26" ht="14.7" customHeight="1" x14ac:dyDescent="0.3">
      <c r="A70" s="22"/>
      <c r="B70" s="62"/>
      <c r="C70" s="59" t="e">
        <f>L5</f>
        <v>#DIV/0!</v>
      </c>
      <c r="D70" s="59" t="e">
        <f>H12</f>
        <v>#DIV/0!</v>
      </c>
      <c r="E70" s="59" t="e">
        <f>I12</f>
        <v>#DIV/0!</v>
      </c>
      <c r="F70" s="58"/>
      <c r="G70" s="37" t="s">
        <v>221</v>
      </c>
      <c r="H70" s="40" t="e">
        <f>L5</f>
        <v>#DIV/0!</v>
      </c>
      <c r="I70" s="40" t="e">
        <f>H12</f>
        <v>#DIV/0!</v>
      </c>
      <c r="J70" s="67" t="e">
        <f>I12</f>
        <v>#DIV/0!</v>
      </c>
      <c r="K70" s="335" t="str">
        <f>PRIMARY!Z13</f>
        <v>Contoura LASIK can be done</v>
      </c>
      <c r="L70" s="335"/>
      <c r="M70" s="335"/>
      <c r="N70" s="335"/>
      <c r="O70" s="35"/>
      <c r="P70" s="35"/>
      <c r="Q70" s="35"/>
      <c r="R70" s="35"/>
      <c r="S70" s="35"/>
      <c r="T70" s="35"/>
      <c r="U70" s="35"/>
    </row>
    <row r="71" spans="1:26" x14ac:dyDescent="0.3">
      <c r="A71" s="22"/>
      <c r="B71" s="332"/>
      <c r="C71" s="332"/>
      <c r="D71" s="332"/>
      <c r="E71" s="332"/>
      <c r="F71" s="58"/>
      <c r="G71" s="78" t="s">
        <v>222</v>
      </c>
      <c r="H71" s="60" t="e">
        <f>F66</f>
        <v>#DIV/0!</v>
      </c>
      <c r="I71" s="61" t="e">
        <f>-J65</f>
        <v>#DIV/0!</v>
      </c>
      <c r="J71" s="68" t="e">
        <f>K67</f>
        <v>#DIV/0!</v>
      </c>
      <c r="K71" s="334" t="str">
        <f>IF(OR((ABS(H9)&gt;ABS(H10)), (H9&gt;2)), "CAUTION: POSSIBLE HIGH CORNEAL COMA.CHECK IF TMR CYL AND AXIS IS CLOSE TO MMR.IF YES, THEN FOLLOW TMR. IF NO, THEN MODIFY ACCORDINGLY. ", "CORNEA SEEMS REGULAR, FOLLOW BELOW PROTOCOLS.")</f>
        <v>CORNEA SEEMS REGULAR, FOLLOW BELOW PROTOCOLS.</v>
      </c>
      <c r="L71" s="334"/>
      <c r="M71" s="334"/>
      <c r="N71" s="334"/>
    </row>
    <row r="72" spans="1:26" x14ac:dyDescent="0.3">
      <c r="A72" s="22"/>
      <c r="B72" s="393"/>
      <c r="C72" s="348"/>
      <c r="D72" s="348"/>
      <c r="E72" s="348"/>
      <c r="F72" s="58"/>
      <c r="G72" s="78" t="s">
        <v>223</v>
      </c>
      <c r="H72" s="61">
        <f>G5+((ABS(I72)-ABS(H5))/2)-((C5-C6)*0.02)</f>
        <v>0</v>
      </c>
      <c r="I72" s="71"/>
      <c r="J72" s="72"/>
      <c r="K72" s="334"/>
      <c r="L72" s="334"/>
      <c r="M72" s="334"/>
      <c r="N72" s="334"/>
    </row>
    <row r="73" spans="1:26" ht="14.7" customHeight="1" x14ac:dyDescent="0.3">
      <c r="A73" s="22"/>
      <c r="B73" s="348"/>
      <c r="C73" s="348"/>
      <c r="D73" s="348"/>
      <c r="E73" s="348"/>
      <c r="F73" s="394" t="s">
        <v>213</v>
      </c>
      <c r="G73" s="346" t="s">
        <v>208</v>
      </c>
      <c r="H73" s="41" t="s">
        <v>204</v>
      </c>
      <c r="I73" s="355" t="s">
        <v>255</v>
      </c>
      <c r="J73" s="392"/>
      <c r="K73" s="334"/>
      <c r="L73" s="334"/>
      <c r="M73" s="334"/>
      <c r="N73" s="334"/>
    </row>
    <row r="74" spans="1:26" ht="14.7" customHeight="1" x14ac:dyDescent="0.3">
      <c r="A74" s="22"/>
      <c r="B74" s="348"/>
      <c r="C74" s="348"/>
      <c r="D74" s="348"/>
      <c r="E74" s="348"/>
      <c r="F74" s="394"/>
      <c r="G74" s="346"/>
      <c r="H74" s="41" t="s">
        <v>203</v>
      </c>
      <c r="I74" s="370" t="s">
        <v>254</v>
      </c>
      <c r="J74" s="371"/>
      <c r="K74" s="334"/>
      <c r="L74" s="334"/>
      <c r="M74" s="334"/>
      <c r="N74" s="334"/>
    </row>
    <row r="75" spans="1:26" ht="14.7" customHeight="1" x14ac:dyDescent="0.3">
      <c r="A75" s="22"/>
      <c r="B75" s="348"/>
      <c r="C75" s="348"/>
      <c r="D75" s="348"/>
      <c r="E75" s="348"/>
      <c r="F75" s="394"/>
      <c r="G75" s="346"/>
      <c r="H75" s="41" t="s">
        <v>199</v>
      </c>
      <c r="I75" s="370" t="s">
        <v>256</v>
      </c>
      <c r="J75" s="371"/>
      <c r="K75" s="334"/>
      <c r="L75" s="334"/>
      <c r="M75" s="334"/>
      <c r="N75" s="334"/>
    </row>
    <row r="76" spans="1:26" ht="14.7" customHeight="1" x14ac:dyDescent="0.3">
      <c r="A76" s="22"/>
      <c r="B76" s="348"/>
      <c r="C76" s="348"/>
      <c r="D76" s="348"/>
      <c r="E76" s="348"/>
      <c r="F76" s="394"/>
      <c r="G76" s="346"/>
      <c r="H76" s="41" t="s">
        <v>200</v>
      </c>
      <c r="I76" s="370" t="s">
        <v>257</v>
      </c>
      <c r="J76" s="371"/>
      <c r="K76" s="383" t="str">
        <f>IF(H9&lt;0.1, "Contoura LASIK can safely be done, minimal Higher Order Aberrations", IF(H9&lt;=0.5, "Contoura LASIK can be done using Modified Refraction", "Contoura LASIK best choice, since corneal Higher Order Aberrations are high"))</f>
        <v>Contoura LASIK can safely be done, minimal Higher Order Aberrations</v>
      </c>
      <c r="L76" s="384"/>
      <c r="M76" s="384"/>
      <c r="N76" s="385"/>
    </row>
    <row r="77" spans="1:26" ht="14.7" customHeight="1" x14ac:dyDescent="0.3">
      <c r="A77" s="22"/>
      <c r="B77" s="348"/>
      <c r="C77" s="348"/>
      <c r="D77" s="348"/>
      <c r="E77" s="348"/>
      <c r="F77" s="394"/>
      <c r="G77" s="346"/>
      <c r="H77" s="41" t="s">
        <v>201</v>
      </c>
      <c r="I77" s="370" t="s">
        <v>258</v>
      </c>
      <c r="J77" s="371"/>
      <c r="K77" s="386"/>
      <c r="L77" s="387"/>
      <c r="M77" s="387"/>
      <c r="N77" s="388"/>
    </row>
    <row r="78" spans="1:26" ht="14.7" customHeight="1" x14ac:dyDescent="0.3">
      <c r="A78" s="22"/>
      <c r="B78" s="348"/>
      <c r="C78" s="348"/>
      <c r="D78" s="348"/>
      <c r="E78" s="348"/>
      <c r="F78" s="394"/>
      <c r="G78" s="346"/>
      <c r="H78" s="41" t="s">
        <v>202</v>
      </c>
      <c r="I78" s="370" t="s">
        <v>259</v>
      </c>
      <c r="J78" s="371"/>
      <c r="K78" s="386"/>
      <c r="L78" s="387"/>
      <c r="M78" s="387"/>
      <c r="N78" s="388"/>
    </row>
    <row r="79" spans="1:26" ht="14.7" customHeight="1" x14ac:dyDescent="0.3">
      <c r="A79" s="22"/>
      <c r="B79" s="348"/>
      <c r="C79" s="348"/>
      <c r="D79" s="348"/>
      <c r="E79" s="348"/>
      <c r="F79" s="394"/>
      <c r="G79" s="346" t="s">
        <v>260</v>
      </c>
      <c r="H79" s="347"/>
      <c r="I79" s="347"/>
      <c r="J79" s="347"/>
      <c r="K79" s="386"/>
      <c r="L79" s="387"/>
      <c r="M79" s="387"/>
      <c r="N79" s="388"/>
    </row>
    <row r="80" spans="1:26" ht="14.7" customHeight="1" x14ac:dyDescent="0.3">
      <c r="A80" s="22"/>
      <c r="B80" s="348"/>
      <c r="C80" s="348"/>
      <c r="D80" s="348"/>
      <c r="E80" s="348"/>
      <c r="F80" s="394"/>
      <c r="G80" s="346"/>
      <c r="H80" s="347"/>
      <c r="I80" s="347"/>
      <c r="J80" s="347"/>
      <c r="K80" s="389"/>
      <c r="L80" s="390"/>
      <c r="M80" s="390"/>
      <c r="N80" s="391"/>
    </row>
    <row r="81" spans="1:14" ht="14.7" customHeight="1" x14ac:dyDescent="0.3">
      <c r="A81" s="22"/>
      <c r="B81" s="348"/>
      <c r="C81" s="348"/>
      <c r="D81" s="348"/>
      <c r="E81" s="348"/>
      <c r="F81" s="394"/>
      <c r="G81" s="35"/>
      <c r="H81" s="35"/>
      <c r="I81" s="35"/>
      <c r="J81" s="35"/>
      <c r="K81" s="350"/>
      <c r="L81" s="351"/>
      <c r="M81" s="351"/>
      <c r="N81" s="351"/>
    </row>
    <row r="82" spans="1:14" ht="14.7" customHeight="1" x14ac:dyDescent="0.3">
      <c r="A82" s="22"/>
      <c r="B82" s="348"/>
      <c r="C82" s="348"/>
      <c r="D82" s="348"/>
      <c r="E82" s="348"/>
      <c r="F82" s="394"/>
      <c r="G82" s="347" t="s">
        <v>209</v>
      </c>
      <c r="H82" s="81" t="s">
        <v>204</v>
      </c>
      <c r="I82" s="347" t="s">
        <v>205</v>
      </c>
      <c r="J82" s="347"/>
      <c r="K82" s="351"/>
      <c r="L82" s="351"/>
      <c r="M82" s="351"/>
      <c r="N82" s="351"/>
    </row>
    <row r="83" spans="1:14" ht="14.4" customHeight="1" x14ac:dyDescent="0.3">
      <c r="A83" s="22"/>
      <c r="B83" s="348"/>
      <c r="C83" s="348"/>
      <c r="D83" s="348"/>
      <c r="E83" s="348"/>
      <c r="F83" s="394"/>
      <c r="G83" s="347"/>
      <c r="H83" s="81" t="s">
        <v>210</v>
      </c>
      <c r="I83" s="349" t="s">
        <v>206</v>
      </c>
      <c r="J83" s="349"/>
      <c r="K83" s="351"/>
      <c r="L83" s="351"/>
      <c r="M83" s="351"/>
      <c r="N83" s="351"/>
    </row>
    <row r="84" spans="1:14" s="35" customFormat="1" ht="14.4" customHeight="1" x14ac:dyDescent="0.3">
      <c r="F84" s="394"/>
      <c r="G84" s="347"/>
      <c r="H84" s="79" t="s">
        <v>211</v>
      </c>
      <c r="I84" s="349" t="s">
        <v>207</v>
      </c>
      <c r="J84" s="349"/>
    </row>
    <row r="85" spans="1:14" ht="14.4" customHeight="1" x14ac:dyDescent="0.3"/>
    <row r="89" spans="1:14" x14ac:dyDescent="0.3">
      <c r="D89" s="8" t="s">
        <v>230</v>
      </c>
    </row>
    <row r="91" spans="1:14" x14ac:dyDescent="0.3">
      <c r="D91" s="8" t="s">
        <v>233</v>
      </c>
      <c r="E91" s="8" t="s">
        <v>234</v>
      </c>
    </row>
    <row r="92" spans="1:14" x14ac:dyDescent="0.3">
      <c r="D92" s="8">
        <v>1</v>
      </c>
      <c r="E92" s="8" t="s">
        <v>237</v>
      </c>
    </row>
    <row r="93" spans="1:14" x14ac:dyDescent="0.3">
      <c r="D93" s="8">
        <v>2</v>
      </c>
      <c r="E93" s="8" t="s">
        <v>235</v>
      </c>
    </row>
    <row r="94" spans="1:14" x14ac:dyDescent="0.3">
      <c r="D94" s="8">
        <v>3</v>
      </c>
      <c r="E94" s="8" t="s">
        <v>236</v>
      </c>
    </row>
    <row r="95" spans="1:14" x14ac:dyDescent="0.3">
      <c r="D95" s="8">
        <v>4</v>
      </c>
      <c r="E95" s="8" t="s">
        <v>239</v>
      </c>
    </row>
    <row r="96" spans="1:14" x14ac:dyDescent="0.3">
      <c r="D96" s="8">
        <v>5</v>
      </c>
      <c r="E96" s="8" t="s">
        <v>240</v>
      </c>
    </row>
    <row r="97" spans="2:5" x14ac:dyDescent="0.3">
      <c r="D97" s="8">
        <v>6</v>
      </c>
      <c r="E97" s="8" t="s">
        <v>241</v>
      </c>
    </row>
    <row r="98" spans="2:5" x14ac:dyDescent="0.3">
      <c r="E98" s="8" t="s">
        <v>238</v>
      </c>
    </row>
    <row r="101" spans="2:5" x14ac:dyDescent="0.3">
      <c r="B101" s="8" t="s">
        <v>248</v>
      </c>
      <c r="C101" s="8">
        <f>H5/2+G5</f>
        <v>0</v>
      </c>
      <c r="E101" s="8" t="s">
        <v>252</v>
      </c>
    </row>
    <row r="102" spans="2:5" x14ac:dyDescent="0.3">
      <c r="B102" s="8" t="s">
        <v>249</v>
      </c>
      <c r="C102" s="8" t="e">
        <f>I70/2+H70</f>
        <v>#DIV/0!</v>
      </c>
      <c r="E102" s="8" t="e">
        <f>C104-C103</f>
        <v>#VALUE!</v>
      </c>
    </row>
    <row r="103" spans="2:5" x14ac:dyDescent="0.3">
      <c r="B103" s="8" t="s">
        <v>250</v>
      </c>
      <c r="C103" s="8">
        <f>ABS(C101)</f>
        <v>0</v>
      </c>
    </row>
    <row r="104" spans="2:5" x14ac:dyDescent="0.3">
      <c r="B104" s="8" t="s">
        <v>251</v>
      </c>
      <c r="C104" s="8" t="e">
        <f>ABS(B104)</f>
        <v>#VALUE!</v>
      </c>
    </row>
    <row r="106" spans="2:5" x14ac:dyDescent="0.3">
      <c r="D106" s="8" t="s">
        <v>242</v>
      </c>
      <c r="E106" s="8" t="s">
        <v>244</v>
      </c>
    </row>
    <row r="107" spans="2:5" x14ac:dyDescent="0.3">
      <c r="D107" s="8" t="b">
        <f>IF(D8=1, "100", IF(D8=2, "90", IF(D8=3, "80", IF(D8=4, "70", IF(D8=5, "60", IF(D8=6, "50"))))))</f>
        <v>0</v>
      </c>
      <c r="E107" s="8" t="b">
        <f>IF(E8="1/2 box", 0.25*D107, IF(E8="3/4 box", 0.37*D107, IF(E8="1 box", 0.5*D107, IF(E8="1.5 boxes", 0.75*D107, IF(E8="2 boxes", D107, IF(E8="2.5 boxes", 1.25*D107, IF(E8="3 boxes", 1.5*D107)))))))</f>
        <v>0</v>
      </c>
    </row>
    <row r="108" spans="2:5" x14ac:dyDescent="0.3">
      <c r="D108" s="8" t="b">
        <f t="shared" ref="D108:D112" si="7">IF(D9=1, "100", IF(D9=2, "90", IF(D9=3, "80", IF(D9=4, "70", IF(D9=5, "60", IF(D9=6, "50"))))))</f>
        <v>0</v>
      </c>
      <c r="E108" s="8" t="b">
        <f t="shared" ref="E108:E112" si="8">IF(E9="1/2 box", 0.25*D108, IF(E9="3/4 box", 0.37*D108, IF(E9="1 box", 0.5*D108, IF(E9="1.5 boxes", 0.75*D108, IF(E9="2 boxes", D108, IF(E9="2.5 boxes", 1.25*D108, IF(E9="3 boxes", 1.5*D108)))))))</f>
        <v>0</v>
      </c>
    </row>
    <row r="109" spans="2:5" x14ac:dyDescent="0.3">
      <c r="D109" s="8" t="b">
        <f t="shared" si="7"/>
        <v>0</v>
      </c>
      <c r="E109" s="8" t="b">
        <f t="shared" si="8"/>
        <v>0</v>
      </c>
    </row>
    <row r="110" spans="2:5" x14ac:dyDescent="0.3">
      <c r="D110" s="8" t="b">
        <f t="shared" si="7"/>
        <v>0</v>
      </c>
      <c r="E110" s="8" t="b">
        <f t="shared" si="8"/>
        <v>0</v>
      </c>
    </row>
    <row r="111" spans="2:5" x14ac:dyDescent="0.3">
      <c r="D111" s="8" t="b">
        <f t="shared" si="7"/>
        <v>0</v>
      </c>
      <c r="E111" s="8" t="b">
        <f t="shared" si="8"/>
        <v>0</v>
      </c>
    </row>
    <row r="112" spans="2:5" x14ac:dyDescent="0.3">
      <c r="D112" s="8" t="b">
        <f t="shared" si="7"/>
        <v>0</v>
      </c>
      <c r="E112" s="8" t="b">
        <f t="shared" si="8"/>
        <v>0</v>
      </c>
    </row>
    <row r="115" spans="4:4" x14ac:dyDescent="0.3">
      <c r="D115" s="8" t="s">
        <v>243</v>
      </c>
    </row>
  </sheetData>
  <sheetProtection selectLockedCells="1"/>
  <mergeCells count="30">
    <mergeCell ref="B71:E71"/>
    <mergeCell ref="K76:N80"/>
    <mergeCell ref="G73:G78"/>
    <mergeCell ref="I73:J73"/>
    <mergeCell ref="I74:J74"/>
    <mergeCell ref="I76:J76"/>
    <mergeCell ref="B72:E83"/>
    <mergeCell ref="I77:J77"/>
    <mergeCell ref="I78:J78"/>
    <mergeCell ref="I83:J83"/>
    <mergeCell ref="I82:J82"/>
    <mergeCell ref="K81:N83"/>
    <mergeCell ref="G82:G84"/>
    <mergeCell ref="I84:J84"/>
    <mergeCell ref="F73:F84"/>
    <mergeCell ref="G79:J80"/>
    <mergeCell ref="J7:K8"/>
    <mergeCell ref="L7:L8"/>
    <mergeCell ref="M4:N5"/>
    <mergeCell ref="B4:C4"/>
    <mergeCell ref="F4:F5"/>
    <mergeCell ref="D4:D7"/>
    <mergeCell ref="E4:E7"/>
    <mergeCell ref="J11:J12"/>
    <mergeCell ref="K71:N75"/>
    <mergeCell ref="K70:N70"/>
    <mergeCell ref="I75:J75"/>
    <mergeCell ref="G14:L14"/>
    <mergeCell ref="H13:L13"/>
    <mergeCell ref="K69:N69"/>
  </mergeCells>
  <dataValidations count="2">
    <dataValidation type="list" allowBlank="1" showInputMessage="1" showErrorMessage="1" sqref="C14" xr:uid="{00000000-0002-0000-0200-000000000000}">
      <formula1>$F$16:$F$18</formula1>
    </dataValidation>
    <dataValidation type="list" allowBlank="1" showInputMessage="1" showErrorMessage="1" sqref="F14" xr:uid="{00000000-0002-0000-0200-000001000000}">
      <formula1>$F$16:$F$17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41C863-542E-48BF-B798-16F3F94C5055}">
          <x14:formula1>
            <xm:f>'OD TALUS'!$D$89:$D$94</xm:f>
          </x14:formula1>
          <xm:sqref>D5:D7</xm:sqref>
        </x14:dataValidation>
        <x14:dataValidation type="list" allowBlank="1" showInputMessage="1" showErrorMessage="1" xr:uid="{C6345CE4-1380-4C16-8D92-F0AA863AE491}">
          <x14:formula1>
            <xm:f>'OD TALUS'!$E$89:$E$95</xm:f>
          </x14:formula1>
          <xm:sqref>E5:E7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23"/>
  <sheetViews>
    <sheetView showRowColHeaders="0" zoomScale="110" zoomScaleNormal="110" workbookViewId="0">
      <selection activeCell="S12" sqref="S12:T14"/>
    </sheetView>
  </sheetViews>
  <sheetFormatPr defaultColWidth="0" defaultRowHeight="14.4" zeroHeight="1" x14ac:dyDescent="0.3"/>
  <cols>
    <col min="1" max="19" width="8.77734375" style="11" customWidth="1"/>
    <col min="20" max="20" width="12.21875" style="11" customWidth="1"/>
    <col min="21" max="21" width="12.77734375" style="11" customWidth="1"/>
    <col min="22" max="16384" width="8.77734375" style="11" hidden="1"/>
  </cols>
  <sheetData>
    <row r="1" spans="1:28" x14ac:dyDescent="0.3">
      <c r="A1" s="12"/>
      <c r="B1" s="12" t="s">
        <v>110</v>
      </c>
      <c r="C1" s="12" t="s">
        <v>111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</row>
    <row r="2" spans="1:28" x14ac:dyDescent="0.3">
      <c r="A2" s="12" t="s">
        <v>66</v>
      </c>
      <c r="B2" s="174">
        <f>PRIMARY!E9</f>
        <v>0</v>
      </c>
      <c r="C2" s="12">
        <f>PRIMARY!Z22</f>
        <v>0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28" x14ac:dyDescent="0.3">
      <c r="A3" s="12" t="s">
        <v>18</v>
      </c>
      <c r="B3" s="12">
        <f>PRIMARY!X24</f>
        <v>0</v>
      </c>
      <c r="C3" s="12">
        <f>PRIMARY!Z24</f>
        <v>0</v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1:28" x14ac:dyDescent="0.3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Y4" s="11">
        <v>2</v>
      </c>
      <c r="Z4" s="11">
        <v>2</v>
      </c>
    </row>
    <row r="5" spans="1:28" x14ac:dyDescent="0.3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AA5" s="16" t="s">
        <v>157</v>
      </c>
      <c r="AB5" s="16" t="s">
        <v>158</v>
      </c>
    </row>
    <row r="6" spans="1:28" x14ac:dyDescent="0.3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4" t="s">
        <v>163</v>
      </c>
      <c r="R6" s="13"/>
      <c r="S6" s="14" t="s">
        <v>162</v>
      </c>
      <c r="T6" s="13"/>
      <c r="U6" s="13"/>
      <c r="AA6" s="17">
        <v>0.25</v>
      </c>
      <c r="AB6" s="17">
        <v>0.25</v>
      </c>
    </row>
    <row r="7" spans="1:28" x14ac:dyDescent="0.3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AA7" s="17" t="s">
        <v>159</v>
      </c>
      <c r="AB7" s="17" t="s">
        <v>159</v>
      </c>
    </row>
    <row r="8" spans="1:28" x14ac:dyDescent="0.3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AA8" s="17">
        <v>-0.25</v>
      </c>
      <c r="AB8" s="17">
        <v>-0.25</v>
      </c>
    </row>
    <row r="9" spans="1:28" x14ac:dyDescent="0.3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AA9" s="17">
        <v>-0.5</v>
      </c>
      <c r="AB9" s="17">
        <v>-0.5</v>
      </c>
    </row>
    <row r="10" spans="1:28" x14ac:dyDescent="0.3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AA10" s="17">
        <v>-0.75</v>
      </c>
      <c r="AB10" s="17">
        <v>-0.75</v>
      </c>
    </row>
    <row r="11" spans="1:28" ht="15" thickBot="1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T11" s="13"/>
      <c r="U11" s="13"/>
      <c r="AA11" s="17">
        <v>-1</v>
      </c>
      <c r="AB11" s="17">
        <v>-1</v>
      </c>
    </row>
    <row r="12" spans="1:28" x14ac:dyDescent="0.3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396" t="s">
        <v>332</v>
      </c>
      <c r="T12" s="397"/>
      <c r="U12" s="13"/>
      <c r="AA12" s="17">
        <v>-1.25</v>
      </c>
      <c r="AB12" s="17">
        <v>-1.25</v>
      </c>
    </row>
    <row r="13" spans="1:28" x14ac:dyDescent="0.3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398"/>
      <c r="T13" s="399"/>
      <c r="U13" s="13"/>
      <c r="AA13" s="17">
        <v>-1.5</v>
      </c>
      <c r="AB13" s="17">
        <v>-1.5</v>
      </c>
    </row>
    <row r="14" spans="1:28" ht="15" thickBot="1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400"/>
      <c r="T14" s="401"/>
      <c r="U14" s="13"/>
      <c r="AA14" s="17">
        <v>-1.75</v>
      </c>
      <c r="AB14" s="17">
        <v>-1.75</v>
      </c>
    </row>
    <row r="15" spans="1:28" x14ac:dyDescent="0.3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AA15" s="17">
        <v>-2</v>
      </c>
      <c r="AB15" s="17">
        <v>-2</v>
      </c>
    </row>
    <row r="16" spans="1:28" x14ac:dyDescent="0.3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AA16" s="17">
        <v>-2.25</v>
      </c>
      <c r="AB16" s="17">
        <v>-2.25</v>
      </c>
    </row>
    <row r="17" spans="1:21" x14ac:dyDescent="0.3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</row>
    <row r="18" spans="1:21" x14ac:dyDescent="0.3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</row>
    <row r="19" spans="1:21" x14ac:dyDescent="0.3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</row>
    <row r="20" spans="1:21" x14ac:dyDescent="0.3">
      <c r="A20" s="395" t="s">
        <v>160</v>
      </c>
      <c r="B20" s="395"/>
      <c r="C20" s="395"/>
      <c r="D20" s="395"/>
      <c r="E20" s="395"/>
      <c r="F20" s="395"/>
      <c r="G20" s="395"/>
      <c r="H20" s="395"/>
      <c r="I20" s="395"/>
      <c r="J20" s="395"/>
      <c r="K20" s="395"/>
      <c r="L20" s="395"/>
      <c r="M20" s="395"/>
      <c r="N20" s="395"/>
      <c r="O20" s="395"/>
      <c r="P20" s="395"/>
      <c r="Q20" s="395"/>
      <c r="R20" s="395"/>
      <c r="S20" s="395"/>
      <c r="T20" s="395"/>
      <c r="U20" s="395"/>
    </row>
    <row r="21" spans="1:21" x14ac:dyDescent="0.3">
      <c r="A21" s="395" t="s">
        <v>161</v>
      </c>
      <c r="B21" s="395"/>
      <c r="C21" s="395"/>
      <c r="D21" s="395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95"/>
      <c r="P21" s="395"/>
      <c r="Q21" s="395"/>
      <c r="R21" s="395"/>
      <c r="S21" s="395"/>
      <c r="T21" s="395"/>
      <c r="U21" s="395"/>
    </row>
    <row r="22" spans="1:21" x14ac:dyDescent="0.3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</row>
    <row r="23" spans="1:21" x14ac:dyDescent="0.3">
      <c r="A23" s="13"/>
      <c r="B23" s="13"/>
      <c r="C23" s="13"/>
      <c r="D23" s="13"/>
      <c r="E23" s="395"/>
      <c r="F23" s="395"/>
      <c r="G23" s="395"/>
      <c r="H23" s="395"/>
      <c r="I23" s="395"/>
      <c r="J23" s="395"/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5"/>
    </row>
  </sheetData>
  <sheetProtection sheet="1" objects="1" scenarios="1" selectLockedCells="1"/>
  <mergeCells count="4">
    <mergeCell ref="E23:U23"/>
    <mergeCell ref="A21:U21"/>
    <mergeCell ref="A20:U20"/>
    <mergeCell ref="S12:T14"/>
  </mergeCells>
  <hyperlinks>
    <hyperlink ref="S12:T14" location="PRIMARY!E9" display="BACK TO PRIMARY SHEET" xr:uid="{E8143673-8A26-4F56-990A-78D022B5F034}"/>
  </hyperlinks>
  <pageMargins left="0.7" right="0.7" top="0.75" bottom="0.75" header="0.3" footer="0.3"/>
  <pageSetup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15</xdr:col>
                    <xdr:colOff>601980</xdr:colOff>
                    <xdr:row>6</xdr:row>
                    <xdr:rowOff>0</xdr:rowOff>
                  </from>
                  <to>
                    <xdr:col>17</xdr:col>
                    <xdr:colOff>556260</xdr:colOff>
                    <xdr:row>7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18</xdr:col>
                    <xdr:colOff>15240</xdr:colOff>
                    <xdr:row>6</xdr:row>
                    <xdr:rowOff>15240</xdr:rowOff>
                  </from>
                  <to>
                    <xdr:col>19</xdr:col>
                    <xdr:colOff>571500</xdr:colOff>
                    <xdr:row>7</xdr:row>
                    <xdr:rowOff>60960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5"/>
  <sheetViews>
    <sheetView showRowColHeaders="0" zoomScale="110" zoomScaleNormal="110" workbookViewId="0">
      <selection activeCell="E29" sqref="E29:F30"/>
    </sheetView>
  </sheetViews>
  <sheetFormatPr defaultColWidth="0" defaultRowHeight="14.4" zeroHeight="1" x14ac:dyDescent="0.3"/>
  <cols>
    <col min="1" max="1" width="4.77734375" customWidth="1"/>
    <col min="2" max="17" width="8.77734375" customWidth="1"/>
    <col min="18" max="19" width="0" hidden="1" customWidth="1"/>
    <col min="20" max="16384" width="8.77734375" hidden="1"/>
  </cols>
  <sheetData>
    <row r="1" spans="1:18" x14ac:dyDescent="0.3">
      <c r="A1" s="427" t="s">
        <v>278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22"/>
    </row>
    <row r="2" spans="1:18" x14ac:dyDescent="0.3">
      <c r="A2" s="427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22"/>
    </row>
    <row r="3" spans="1:18" ht="15" thickBot="1" x14ac:dyDescent="0.35">
      <c r="A3" s="351"/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22"/>
    </row>
    <row r="4" spans="1:18" x14ac:dyDescent="0.3">
      <c r="A4" s="351"/>
      <c r="B4" s="431" t="s">
        <v>266</v>
      </c>
      <c r="C4" s="431"/>
      <c r="D4" s="431"/>
      <c r="E4" s="431"/>
      <c r="F4" s="431"/>
      <c r="G4" s="22"/>
      <c r="H4" s="22"/>
      <c r="I4" s="22"/>
      <c r="J4" s="402" t="s">
        <v>280</v>
      </c>
      <c r="K4" s="403"/>
      <c r="L4" s="403"/>
      <c r="M4" s="403"/>
      <c r="N4" s="403"/>
      <c r="O4" s="404"/>
      <c r="P4" s="22"/>
      <c r="Q4" s="22"/>
    </row>
    <row r="5" spans="1:18" x14ac:dyDescent="0.3">
      <c r="A5" s="351"/>
      <c r="B5" s="101"/>
      <c r="C5" s="101"/>
      <c r="D5" s="101"/>
      <c r="E5" s="101"/>
      <c r="F5" s="101"/>
      <c r="G5" s="22"/>
      <c r="H5" s="22"/>
      <c r="I5" s="22"/>
      <c r="J5" s="405"/>
      <c r="K5" s="406"/>
      <c r="L5" s="406"/>
      <c r="M5" s="406"/>
      <c r="N5" s="406"/>
      <c r="O5" s="407"/>
      <c r="P5" s="22"/>
      <c r="Q5" s="22"/>
    </row>
    <row r="6" spans="1:18" x14ac:dyDescent="0.3">
      <c r="A6" s="351"/>
      <c r="B6" s="432" t="s">
        <v>288</v>
      </c>
      <c r="C6" s="432"/>
      <c r="D6" s="432"/>
      <c r="E6" s="432"/>
      <c r="F6" s="432"/>
      <c r="G6" s="22"/>
      <c r="H6" s="22"/>
      <c r="I6" s="22"/>
      <c r="J6" s="405"/>
      <c r="K6" s="406"/>
      <c r="L6" s="406"/>
      <c r="M6" s="406"/>
      <c r="N6" s="406"/>
      <c r="O6" s="407"/>
      <c r="P6" s="22"/>
      <c r="Q6" s="22"/>
    </row>
    <row r="7" spans="1:18" ht="15" thickBot="1" x14ac:dyDescent="0.35">
      <c r="A7" s="351"/>
      <c r="B7" s="433" t="s">
        <v>267</v>
      </c>
      <c r="C7" s="433"/>
      <c r="D7" s="152"/>
      <c r="E7" s="147" t="s">
        <v>19</v>
      </c>
      <c r="F7" s="152"/>
      <c r="G7" s="22"/>
      <c r="H7" s="22"/>
      <c r="I7" s="22"/>
      <c r="J7" s="408"/>
      <c r="K7" s="409"/>
      <c r="L7" s="409"/>
      <c r="M7" s="409"/>
      <c r="N7" s="409"/>
      <c r="O7" s="410"/>
      <c r="P7" s="22"/>
      <c r="Q7" s="22"/>
    </row>
    <row r="8" spans="1:18" x14ac:dyDescent="0.3">
      <c r="A8" s="351"/>
      <c r="B8" s="101"/>
      <c r="C8" s="101"/>
      <c r="D8" s="101"/>
      <c r="E8" s="101"/>
      <c r="F8" s="101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</row>
    <row r="9" spans="1:18" x14ac:dyDescent="0.3">
      <c r="A9" s="351"/>
      <c r="B9" s="432" t="s">
        <v>289</v>
      </c>
      <c r="C9" s="432"/>
      <c r="D9" s="432"/>
      <c r="E9" s="432"/>
      <c r="F9" s="43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</row>
    <row r="10" spans="1:18" x14ac:dyDescent="0.3">
      <c r="A10" s="351"/>
      <c r="B10" s="147" t="s">
        <v>268</v>
      </c>
      <c r="C10" s="153"/>
      <c r="D10" s="149"/>
      <c r="E10" s="147" t="s">
        <v>269</v>
      </c>
      <c r="F10" s="153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8" x14ac:dyDescent="0.3">
      <c r="A11" s="351"/>
      <c r="B11" s="149"/>
      <c r="C11" s="149"/>
      <c r="D11" s="149"/>
      <c r="E11" s="149"/>
      <c r="F11" s="149"/>
      <c r="G11" s="22"/>
      <c r="H11" s="22"/>
      <c r="I11" s="22"/>
      <c r="J11" s="411" t="s">
        <v>330</v>
      </c>
      <c r="K11" s="411"/>
      <c r="L11" s="411"/>
      <c r="M11" s="22"/>
      <c r="N11" s="22"/>
      <c r="O11" s="22"/>
      <c r="P11" s="22"/>
      <c r="Q11" s="22"/>
    </row>
    <row r="12" spans="1:18" ht="15.45" customHeight="1" x14ac:dyDescent="0.3">
      <c r="A12" s="351"/>
      <c r="B12" s="414" t="s">
        <v>327</v>
      </c>
      <c r="C12" s="414" t="s">
        <v>167</v>
      </c>
      <c r="D12" s="414" t="s">
        <v>326</v>
      </c>
      <c r="E12" s="416" t="s">
        <v>270</v>
      </c>
      <c r="F12" s="417"/>
      <c r="G12" s="22"/>
      <c r="H12" s="22"/>
      <c r="I12" s="22"/>
      <c r="J12" s="411"/>
      <c r="K12" s="411"/>
      <c r="L12" s="411"/>
      <c r="M12" s="22"/>
      <c r="N12" s="22"/>
      <c r="O12" s="22"/>
      <c r="P12" s="22"/>
      <c r="Q12" s="22"/>
    </row>
    <row r="13" spans="1:18" ht="14.7" customHeight="1" x14ac:dyDescent="0.3">
      <c r="A13" s="351"/>
      <c r="B13" s="415"/>
      <c r="C13" s="415"/>
      <c r="D13" s="415"/>
      <c r="E13" s="418"/>
      <c r="F13" s="419"/>
      <c r="G13" s="22"/>
      <c r="H13" s="22"/>
      <c r="I13" s="150"/>
      <c r="J13" s="150"/>
      <c r="K13" s="150"/>
      <c r="L13" s="150"/>
      <c r="M13" s="150"/>
      <c r="N13" s="150"/>
      <c r="O13" s="22"/>
      <c r="P13" s="22"/>
      <c r="Q13" s="22"/>
    </row>
    <row r="14" spans="1:18" ht="14.7" customHeight="1" x14ac:dyDescent="0.3">
      <c r="A14" s="351"/>
      <c r="B14" s="96" t="s">
        <v>169</v>
      </c>
      <c r="C14" s="151"/>
      <c r="D14" s="151"/>
      <c r="E14" s="413"/>
      <c r="F14" s="413"/>
      <c r="G14" s="22"/>
      <c r="H14" s="22"/>
      <c r="I14" s="150"/>
      <c r="J14" s="150"/>
      <c r="K14" s="150"/>
      <c r="L14" s="150"/>
      <c r="M14" s="150"/>
      <c r="N14" s="150"/>
      <c r="O14" s="22"/>
      <c r="P14" s="22"/>
      <c r="Q14" s="22"/>
    </row>
    <row r="15" spans="1:18" ht="14.7" customHeight="1" x14ac:dyDescent="0.3">
      <c r="A15" s="351"/>
      <c r="B15" s="96" t="s">
        <v>170</v>
      </c>
      <c r="C15" s="151"/>
      <c r="D15" s="151"/>
      <c r="E15" s="413"/>
      <c r="F15" s="413"/>
      <c r="G15" s="22"/>
      <c r="H15" s="22"/>
      <c r="I15" s="150"/>
      <c r="J15" s="150"/>
      <c r="K15" s="150"/>
      <c r="L15" s="150"/>
      <c r="M15" s="150"/>
      <c r="N15" s="150"/>
      <c r="O15" s="22"/>
      <c r="P15" s="22"/>
      <c r="Q15" s="22"/>
    </row>
    <row r="16" spans="1:18" ht="14.7" customHeight="1" x14ac:dyDescent="0.3">
      <c r="A16" s="351"/>
      <c r="B16" s="96" t="s">
        <v>265</v>
      </c>
      <c r="C16" s="151"/>
      <c r="D16" s="151"/>
      <c r="E16" s="413"/>
      <c r="F16" s="413"/>
      <c r="G16" s="22"/>
      <c r="H16" s="22"/>
      <c r="I16" s="412" t="s">
        <v>328</v>
      </c>
      <c r="J16" s="412"/>
      <c r="K16" s="150"/>
      <c r="L16" s="150"/>
      <c r="M16" s="150"/>
      <c r="N16" s="150"/>
      <c r="O16" s="22"/>
      <c r="P16" s="22"/>
      <c r="Q16" s="22"/>
      <c r="R16" t="s">
        <v>281</v>
      </c>
    </row>
    <row r="17" spans="1:19" ht="15.45" customHeight="1" x14ac:dyDescent="0.3">
      <c r="A17" s="351"/>
      <c r="B17" s="96" t="s">
        <v>173</v>
      </c>
      <c r="C17" s="151"/>
      <c r="D17" s="151"/>
      <c r="E17" s="413"/>
      <c r="F17" s="413"/>
      <c r="G17" s="22"/>
      <c r="H17" s="22"/>
      <c r="I17" s="412"/>
      <c r="J17" s="412"/>
      <c r="K17" s="150"/>
      <c r="L17" s="150"/>
      <c r="M17" s="150"/>
      <c r="N17" s="150"/>
      <c r="O17" s="22"/>
      <c r="P17" s="22"/>
      <c r="Q17" s="22"/>
      <c r="R17" t="s">
        <v>283</v>
      </c>
    </row>
    <row r="18" spans="1:19" x14ac:dyDescent="0.3">
      <c r="A18" s="351"/>
      <c r="B18" s="96" t="s">
        <v>174</v>
      </c>
      <c r="C18" s="151"/>
      <c r="D18" s="151"/>
      <c r="E18" s="413"/>
      <c r="F18" s="413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t="s">
        <v>284</v>
      </c>
    </row>
    <row r="19" spans="1:19" x14ac:dyDescent="0.3">
      <c r="A19" s="351"/>
      <c r="B19" s="96" t="s">
        <v>176</v>
      </c>
      <c r="C19" s="151"/>
      <c r="D19" s="151"/>
      <c r="E19" s="413"/>
      <c r="F19" s="413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t="s">
        <v>285</v>
      </c>
    </row>
    <row r="20" spans="1:19" x14ac:dyDescent="0.3">
      <c r="A20" s="351"/>
      <c r="B20" s="435"/>
      <c r="C20" s="435"/>
      <c r="D20" s="435"/>
      <c r="E20" s="435"/>
      <c r="F20" s="435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</row>
    <row r="21" spans="1:19" ht="14.7" customHeight="1" x14ac:dyDescent="0.3">
      <c r="A21" s="351"/>
      <c r="B21" s="425" t="s">
        <v>282</v>
      </c>
      <c r="C21" s="425"/>
      <c r="D21" s="425"/>
      <c r="E21" s="425"/>
      <c r="F21" s="425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</row>
    <row r="22" spans="1:19" x14ac:dyDescent="0.3">
      <c r="A22" s="351"/>
      <c r="B22" s="425"/>
      <c r="C22" s="425"/>
      <c r="D22" s="425"/>
      <c r="E22" s="425"/>
      <c r="F22" s="425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</row>
    <row r="23" spans="1:19" ht="14.7" customHeight="1" x14ac:dyDescent="0.3">
      <c r="A23" s="351"/>
      <c r="B23" s="428" t="s">
        <v>284</v>
      </c>
      <c r="C23" s="428"/>
      <c r="D23" s="428"/>
      <c r="E23" s="428"/>
      <c r="F23" s="428"/>
      <c r="G23" s="22"/>
      <c r="H23" s="22"/>
      <c r="I23" s="22"/>
      <c r="J23" s="22"/>
      <c r="K23" s="22"/>
      <c r="L23" s="411" t="s">
        <v>329</v>
      </c>
      <c r="M23" s="411"/>
      <c r="N23" s="22"/>
      <c r="O23" s="22"/>
      <c r="P23" s="22"/>
      <c r="Q23" s="22"/>
      <c r="R23">
        <v>1</v>
      </c>
      <c r="S23" t="s">
        <v>237</v>
      </c>
    </row>
    <row r="24" spans="1:19" ht="14.7" customHeight="1" x14ac:dyDescent="0.3">
      <c r="A24" s="351"/>
      <c r="B24" s="434"/>
      <c r="C24" s="434"/>
      <c r="D24" s="434"/>
      <c r="E24" s="434"/>
      <c r="F24" s="434"/>
      <c r="G24" s="22"/>
      <c r="H24" s="22"/>
      <c r="I24" s="22"/>
      <c r="J24" s="22"/>
      <c r="K24" s="22"/>
      <c r="L24" s="411"/>
      <c r="M24" s="411"/>
      <c r="N24" s="22"/>
      <c r="O24" s="22"/>
      <c r="P24" s="22"/>
      <c r="Q24" s="22"/>
      <c r="R24">
        <v>2</v>
      </c>
      <c r="S24" t="s">
        <v>235</v>
      </c>
    </row>
    <row r="25" spans="1:19" x14ac:dyDescent="0.3">
      <c r="A25" s="351"/>
      <c r="B25" s="437" t="s">
        <v>287</v>
      </c>
      <c r="C25" s="437"/>
      <c r="D25" s="437"/>
      <c r="E25" s="437"/>
      <c r="F25" s="437"/>
      <c r="G25" s="22"/>
      <c r="H25" s="22"/>
      <c r="I25" s="22"/>
      <c r="J25" s="22"/>
      <c r="K25" s="22"/>
      <c r="L25" s="411"/>
      <c r="M25" s="411"/>
      <c r="N25" s="22"/>
      <c r="O25" s="22"/>
      <c r="P25" s="22"/>
      <c r="Q25" s="22"/>
      <c r="R25">
        <v>3</v>
      </c>
      <c r="S25" t="s">
        <v>236</v>
      </c>
    </row>
    <row r="26" spans="1:19" x14ac:dyDescent="0.3">
      <c r="A26" s="351"/>
      <c r="B26" s="429" t="s">
        <v>290</v>
      </c>
      <c r="C26" s="429"/>
      <c r="D26" s="436"/>
      <c r="E26" s="430" t="s">
        <v>291</v>
      </c>
      <c r="F26" s="436"/>
      <c r="G26" s="22"/>
      <c r="H26" s="22"/>
      <c r="I26" s="22"/>
      <c r="J26" s="22"/>
      <c r="K26" s="22"/>
      <c r="L26" s="411"/>
      <c r="M26" s="411"/>
      <c r="N26" s="22"/>
      <c r="O26" s="22"/>
      <c r="P26" s="22"/>
      <c r="Q26" s="22"/>
      <c r="R26">
        <v>4</v>
      </c>
      <c r="S26" t="s">
        <v>239</v>
      </c>
    </row>
    <row r="27" spans="1:19" x14ac:dyDescent="0.3">
      <c r="A27" s="351"/>
      <c r="B27" s="429"/>
      <c r="C27" s="429"/>
      <c r="D27" s="436"/>
      <c r="E27" s="430"/>
      <c r="F27" s="436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>
        <v>5</v>
      </c>
      <c r="S27" t="s">
        <v>240</v>
      </c>
    </row>
    <row r="28" spans="1:19" ht="15" thickBot="1" x14ac:dyDescent="0.35">
      <c r="A28" s="351"/>
      <c r="B28" s="426"/>
      <c r="C28" s="426"/>
      <c r="D28" s="426"/>
      <c r="E28" s="426"/>
      <c r="F28" s="426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>
        <v>6</v>
      </c>
      <c r="S28" t="s">
        <v>241</v>
      </c>
    </row>
    <row r="29" spans="1:19" ht="14.7" customHeight="1" x14ac:dyDescent="0.3">
      <c r="A29" s="351"/>
      <c r="B29" s="420" t="s">
        <v>293</v>
      </c>
      <c r="C29" s="421"/>
      <c r="D29" s="424"/>
      <c r="E29" s="420" t="s">
        <v>294</v>
      </c>
      <c r="F29" s="421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S29" t="s">
        <v>238</v>
      </c>
    </row>
    <row r="30" spans="1:19" ht="15.45" customHeight="1" thickBot="1" x14ac:dyDescent="0.35">
      <c r="A30" s="351"/>
      <c r="B30" s="422"/>
      <c r="C30" s="423"/>
      <c r="D30" s="424"/>
      <c r="E30" s="422"/>
      <c r="F30" s="423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</row>
    <row r="31" spans="1:19" x14ac:dyDescent="0.3">
      <c r="A31" s="351"/>
      <c r="B31" s="351"/>
      <c r="C31" s="351"/>
      <c r="D31" s="351"/>
      <c r="E31" s="351"/>
      <c r="F31" s="351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t="s">
        <v>205</v>
      </c>
    </row>
    <row r="32" spans="1:19" x14ac:dyDescent="0.3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>
        <f>'OD TALUS'!T14</f>
        <v>0</v>
      </c>
      <c r="S32">
        <f>'OD TALUS'!U13</f>
        <v>0</v>
      </c>
    </row>
    <row r="34" spans="18:19" hidden="1" x14ac:dyDescent="0.3">
      <c r="R34" t="s">
        <v>292</v>
      </c>
    </row>
    <row r="35" spans="18:19" hidden="1" x14ac:dyDescent="0.3">
      <c r="R35">
        <f>IF(B23="MANUAL ENTRY", ABS(D26), IF(B23="USE SOFTWARE INBUILT NOMOGRAM", R32, IF(B23="DO NOT CONSIDER", 0)))</f>
        <v>0</v>
      </c>
      <c r="S35">
        <f>IF(B23="MANUAL ENTRY", F26, IF(B23="USE SOFTWARE INBUILT NOMOGRAM", S32, IF(B23="DO NOT CONSIDER", 0)))</f>
        <v>0</v>
      </c>
    </row>
  </sheetData>
  <sheetProtection sheet="1" objects="1" scenarios="1" selectLockedCells="1"/>
  <mergeCells count="35">
    <mergeCell ref="A1:P2"/>
    <mergeCell ref="A3:P3"/>
    <mergeCell ref="B23:F23"/>
    <mergeCell ref="B26:C27"/>
    <mergeCell ref="E26:E27"/>
    <mergeCell ref="E19:F19"/>
    <mergeCell ref="B4:F4"/>
    <mergeCell ref="B6:F6"/>
    <mergeCell ref="B7:C7"/>
    <mergeCell ref="B9:F9"/>
    <mergeCell ref="E14:F14"/>
    <mergeCell ref="B24:F24"/>
    <mergeCell ref="B20:F20"/>
    <mergeCell ref="D26:D27"/>
    <mergeCell ref="F26:F27"/>
    <mergeCell ref="B25:F25"/>
    <mergeCell ref="C12:C13"/>
    <mergeCell ref="D12:D13"/>
    <mergeCell ref="B12:B13"/>
    <mergeCell ref="E12:F13"/>
    <mergeCell ref="A4:A31"/>
    <mergeCell ref="B31:F31"/>
    <mergeCell ref="B29:C30"/>
    <mergeCell ref="E29:F30"/>
    <mergeCell ref="D29:D30"/>
    <mergeCell ref="B21:F22"/>
    <mergeCell ref="E17:F17"/>
    <mergeCell ref="E18:F18"/>
    <mergeCell ref="B28:F28"/>
    <mergeCell ref="J4:O7"/>
    <mergeCell ref="J11:L12"/>
    <mergeCell ref="I16:J17"/>
    <mergeCell ref="L23:M26"/>
    <mergeCell ref="E15:F15"/>
    <mergeCell ref="E16:F16"/>
  </mergeCells>
  <dataValidations count="3">
    <dataValidation type="list" allowBlank="1" showInputMessage="1" showErrorMessage="1" sqref="B23" xr:uid="{00000000-0002-0000-0300-000000000000}">
      <formula1>$R$17:$R$19</formula1>
    </dataValidation>
    <dataValidation type="list" allowBlank="1" showInputMessage="1" showErrorMessage="1" sqref="D14:D19" xr:uid="{00000000-0002-0000-0300-000001000000}">
      <formula1>$R$23:$R$28</formula1>
    </dataValidation>
    <dataValidation type="list" allowBlank="1" showInputMessage="1" showErrorMessage="1" sqref="E14:F19" xr:uid="{00000000-0002-0000-0300-000002000000}">
      <formula1>$S$23:$S$29</formula1>
    </dataValidation>
  </dataValidations>
  <hyperlinks>
    <hyperlink ref="B29:C30" location="'Sheet2 (2)'!B19" display="PROCEED" xr:uid="{DBEE56B8-0594-4E4B-A93C-00C521686989}"/>
    <hyperlink ref="E29:F30" location="PRIMARY!E9" display="BACK" xr:uid="{B7DBA5B4-F2BB-4735-9A83-E2087B28D099}"/>
    <hyperlink ref="J4:O7" location="Sheet4!A1" display="CLICK HERE TO SEE INSTRUCTIONS FOR HOW TO FILL TALUS DATA" xr:uid="{47E5A8B9-841C-4ABB-AEFA-0F23CE826834}"/>
  </hyperlinks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5"/>
  <sheetViews>
    <sheetView showRowColHeaders="0" zoomScale="110" zoomScaleNormal="110" workbookViewId="0">
      <selection activeCell="E29" sqref="E29:F30"/>
    </sheetView>
  </sheetViews>
  <sheetFormatPr defaultColWidth="0" defaultRowHeight="14.4" zeroHeight="1" x14ac:dyDescent="0.3"/>
  <cols>
    <col min="1" max="1" width="4.77734375" customWidth="1"/>
    <col min="2" max="17" width="8.77734375" customWidth="1"/>
    <col min="18" max="16384" width="8.77734375" hidden="1"/>
  </cols>
  <sheetData>
    <row r="1" spans="1:18" x14ac:dyDescent="0.3">
      <c r="A1" s="438" t="s">
        <v>279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22"/>
    </row>
    <row r="2" spans="1:18" x14ac:dyDescent="0.3">
      <c r="A2" s="439"/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22"/>
    </row>
    <row r="3" spans="1:18" ht="15" thickBot="1" x14ac:dyDescent="0.35">
      <c r="A3" s="351"/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22"/>
    </row>
    <row r="4" spans="1:18" x14ac:dyDescent="0.3">
      <c r="A4" s="351"/>
      <c r="B4" s="443" t="s">
        <v>266</v>
      </c>
      <c r="C4" s="443"/>
      <c r="D4" s="443"/>
      <c r="E4" s="443"/>
      <c r="F4" s="443"/>
      <c r="G4" s="22"/>
      <c r="H4" s="22"/>
      <c r="I4" s="22"/>
      <c r="J4" s="402" t="s">
        <v>280</v>
      </c>
      <c r="K4" s="403"/>
      <c r="L4" s="403"/>
      <c r="M4" s="403"/>
      <c r="N4" s="403"/>
      <c r="O4" s="404"/>
      <c r="P4" s="22"/>
      <c r="Q4" s="22"/>
    </row>
    <row r="5" spans="1:18" x14ac:dyDescent="0.3">
      <c r="A5" s="351"/>
      <c r="B5" s="154"/>
      <c r="C5" s="154"/>
      <c r="D5" s="154"/>
      <c r="E5" s="154"/>
      <c r="F5" s="154"/>
      <c r="G5" s="22"/>
      <c r="H5" s="22"/>
      <c r="I5" s="22"/>
      <c r="J5" s="405"/>
      <c r="K5" s="406"/>
      <c r="L5" s="406"/>
      <c r="M5" s="406"/>
      <c r="N5" s="406"/>
      <c r="O5" s="407"/>
      <c r="P5" s="22"/>
      <c r="Q5" s="22"/>
    </row>
    <row r="6" spans="1:18" x14ac:dyDescent="0.3">
      <c r="A6" s="351"/>
      <c r="B6" s="444" t="s">
        <v>288</v>
      </c>
      <c r="C6" s="444"/>
      <c r="D6" s="444"/>
      <c r="E6" s="444"/>
      <c r="F6" s="444"/>
      <c r="G6" s="22"/>
      <c r="H6" s="22"/>
      <c r="I6" s="22"/>
      <c r="J6" s="405"/>
      <c r="K6" s="406"/>
      <c r="L6" s="406"/>
      <c r="M6" s="406"/>
      <c r="N6" s="406"/>
      <c r="O6" s="407"/>
      <c r="P6" s="22"/>
      <c r="Q6" s="22"/>
    </row>
    <row r="7" spans="1:18" ht="15" thickBot="1" x14ac:dyDescent="0.35">
      <c r="A7" s="351"/>
      <c r="B7" s="445" t="s">
        <v>267</v>
      </c>
      <c r="C7" s="445"/>
      <c r="D7" s="159"/>
      <c r="E7" s="155" t="s">
        <v>19</v>
      </c>
      <c r="F7" s="159"/>
      <c r="G7" s="22"/>
      <c r="H7" s="22"/>
      <c r="I7" s="22"/>
      <c r="J7" s="408"/>
      <c r="K7" s="409"/>
      <c r="L7" s="409"/>
      <c r="M7" s="409"/>
      <c r="N7" s="409"/>
      <c r="O7" s="410"/>
      <c r="P7" s="22"/>
      <c r="Q7" s="22"/>
    </row>
    <row r="8" spans="1:18" x14ac:dyDescent="0.3">
      <c r="A8" s="351"/>
      <c r="B8" s="154"/>
      <c r="C8" s="154"/>
      <c r="D8" s="154"/>
      <c r="E8" s="154"/>
      <c r="F8" s="154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</row>
    <row r="9" spans="1:18" x14ac:dyDescent="0.3">
      <c r="A9" s="351"/>
      <c r="B9" s="444" t="s">
        <v>289</v>
      </c>
      <c r="C9" s="444"/>
      <c r="D9" s="444"/>
      <c r="E9" s="444"/>
      <c r="F9" s="444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</row>
    <row r="10" spans="1:18" x14ac:dyDescent="0.3">
      <c r="A10" s="351"/>
      <c r="B10" s="155" t="s">
        <v>268</v>
      </c>
      <c r="C10" s="158"/>
      <c r="D10" s="47"/>
      <c r="E10" s="155" t="s">
        <v>269</v>
      </c>
      <c r="F10" s="158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8" x14ac:dyDescent="0.3">
      <c r="A11" s="351"/>
      <c r="B11" s="47"/>
      <c r="C11" s="47"/>
      <c r="D11" s="47"/>
      <c r="E11" s="47"/>
      <c r="F11" s="47"/>
      <c r="G11" s="22"/>
      <c r="H11" s="22"/>
      <c r="I11" s="22"/>
      <c r="J11" s="450" t="s">
        <v>330</v>
      </c>
      <c r="K11" s="450"/>
      <c r="L11" s="450"/>
      <c r="M11" s="22"/>
      <c r="N11" s="22"/>
      <c r="O11" s="22"/>
      <c r="P11" s="22"/>
      <c r="Q11" s="22"/>
    </row>
    <row r="12" spans="1:18" x14ac:dyDescent="0.3">
      <c r="A12" s="351"/>
      <c r="B12" s="447" t="s">
        <v>327</v>
      </c>
      <c r="C12" s="447" t="s">
        <v>167</v>
      </c>
      <c r="D12" s="447" t="s">
        <v>326</v>
      </c>
      <c r="E12" s="452" t="s">
        <v>270</v>
      </c>
      <c r="F12" s="453"/>
      <c r="G12" s="22"/>
      <c r="H12" s="22"/>
      <c r="I12" s="22"/>
      <c r="J12" s="450"/>
      <c r="K12" s="450"/>
      <c r="L12" s="450"/>
      <c r="M12" s="22"/>
      <c r="N12" s="22"/>
      <c r="O12" s="22"/>
      <c r="P12" s="22"/>
      <c r="Q12" s="22"/>
    </row>
    <row r="13" spans="1:18" ht="14.7" customHeight="1" x14ac:dyDescent="0.3">
      <c r="A13" s="351"/>
      <c r="B13" s="448"/>
      <c r="C13" s="448"/>
      <c r="D13" s="448"/>
      <c r="E13" s="454"/>
      <c r="F13" s="455"/>
      <c r="G13" s="22"/>
      <c r="H13" s="22"/>
      <c r="I13" s="156"/>
      <c r="J13" s="156"/>
      <c r="K13" s="156"/>
      <c r="L13" s="156"/>
      <c r="M13" s="156"/>
      <c r="N13" s="156"/>
      <c r="O13" s="22"/>
      <c r="P13" s="22"/>
      <c r="Q13" s="22"/>
    </row>
    <row r="14" spans="1:18" ht="14.7" customHeight="1" x14ac:dyDescent="0.3">
      <c r="A14" s="351"/>
      <c r="B14" s="122" t="s">
        <v>169</v>
      </c>
      <c r="C14" s="157"/>
      <c r="D14" s="157"/>
      <c r="E14" s="446"/>
      <c r="F14" s="446"/>
      <c r="G14" s="22"/>
      <c r="H14" s="22"/>
      <c r="I14" s="156"/>
      <c r="J14" s="156"/>
      <c r="K14" s="156"/>
      <c r="L14" s="156"/>
      <c r="M14" s="156"/>
      <c r="N14" s="156"/>
      <c r="O14" s="22"/>
      <c r="P14" s="22"/>
      <c r="Q14" s="22"/>
    </row>
    <row r="15" spans="1:18" ht="14.7" customHeight="1" x14ac:dyDescent="0.3">
      <c r="A15" s="351"/>
      <c r="B15" s="122" t="s">
        <v>170</v>
      </c>
      <c r="C15" s="157"/>
      <c r="D15" s="157"/>
      <c r="E15" s="446"/>
      <c r="F15" s="446"/>
      <c r="G15" s="22"/>
      <c r="H15" s="22"/>
      <c r="I15" s="156"/>
      <c r="J15" s="156"/>
      <c r="K15" s="156"/>
      <c r="L15" s="156"/>
      <c r="M15" s="156"/>
      <c r="N15" s="156"/>
      <c r="O15" s="22"/>
      <c r="P15" s="22"/>
      <c r="Q15" s="22"/>
    </row>
    <row r="16" spans="1:18" ht="14.7" customHeight="1" x14ac:dyDescent="0.3">
      <c r="A16" s="351"/>
      <c r="B16" s="122" t="s">
        <v>265</v>
      </c>
      <c r="C16" s="157"/>
      <c r="D16" s="157"/>
      <c r="E16" s="446"/>
      <c r="F16" s="446"/>
      <c r="G16" s="22"/>
      <c r="H16" s="22"/>
      <c r="I16" s="451" t="s">
        <v>328</v>
      </c>
      <c r="J16" s="451"/>
      <c r="K16" s="156"/>
      <c r="L16" s="156"/>
      <c r="M16" s="156"/>
      <c r="N16" s="156"/>
      <c r="O16" s="22"/>
      <c r="P16" s="22"/>
      <c r="Q16" s="22"/>
      <c r="R16" t="s">
        <v>281</v>
      </c>
    </row>
    <row r="17" spans="1:19" ht="15.45" customHeight="1" x14ac:dyDescent="0.3">
      <c r="A17" s="351"/>
      <c r="B17" s="122" t="s">
        <v>173</v>
      </c>
      <c r="C17" s="157"/>
      <c r="D17" s="157"/>
      <c r="E17" s="446"/>
      <c r="F17" s="446"/>
      <c r="G17" s="22"/>
      <c r="H17" s="22"/>
      <c r="I17" s="451"/>
      <c r="J17" s="451"/>
      <c r="K17" s="156"/>
      <c r="L17" s="156"/>
      <c r="M17" s="156"/>
      <c r="N17" s="156"/>
      <c r="O17" s="22"/>
      <c r="P17" s="22"/>
      <c r="Q17" s="22"/>
      <c r="R17" t="s">
        <v>283</v>
      </c>
    </row>
    <row r="18" spans="1:19" x14ac:dyDescent="0.3">
      <c r="A18" s="351"/>
      <c r="B18" s="122" t="s">
        <v>174</v>
      </c>
      <c r="C18" s="157"/>
      <c r="D18" s="157"/>
      <c r="E18" s="446"/>
      <c r="F18" s="446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t="s">
        <v>284</v>
      </c>
    </row>
    <row r="19" spans="1:19" x14ac:dyDescent="0.3">
      <c r="A19" s="351"/>
      <c r="B19" s="122" t="s">
        <v>176</v>
      </c>
      <c r="C19" s="157"/>
      <c r="D19" s="157"/>
      <c r="E19" s="446"/>
      <c r="F19" s="446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t="s">
        <v>285</v>
      </c>
    </row>
    <row r="20" spans="1:19" x14ac:dyDescent="0.3">
      <c r="A20" s="351"/>
      <c r="B20" s="457"/>
      <c r="C20" s="457"/>
      <c r="D20" s="457"/>
      <c r="E20" s="457"/>
      <c r="F20" s="457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</row>
    <row r="21" spans="1:19" x14ac:dyDescent="0.3">
      <c r="A21" s="351"/>
      <c r="B21" s="440" t="s">
        <v>282</v>
      </c>
      <c r="C21" s="441"/>
      <c r="D21" s="441"/>
      <c r="E21" s="441"/>
      <c r="F21" s="441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</row>
    <row r="22" spans="1:19" x14ac:dyDescent="0.3">
      <c r="A22" s="351"/>
      <c r="B22" s="441"/>
      <c r="C22" s="441"/>
      <c r="D22" s="441"/>
      <c r="E22" s="441"/>
      <c r="F22" s="441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</row>
    <row r="23" spans="1:19" ht="14.7" customHeight="1" x14ac:dyDescent="0.3">
      <c r="A23" s="351"/>
      <c r="B23" s="442" t="s">
        <v>284</v>
      </c>
      <c r="C23" s="442"/>
      <c r="D23" s="442"/>
      <c r="E23" s="442"/>
      <c r="F23" s="442"/>
      <c r="G23" s="22"/>
      <c r="H23" s="22"/>
      <c r="I23" s="22"/>
      <c r="J23" s="22"/>
      <c r="K23" s="22"/>
      <c r="L23" s="450" t="s">
        <v>329</v>
      </c>
      <c r="M23" s="450"/>
      <c r="N23" s="22"/>
      <c r="O23" s="22"/>
      <c r="P23" s="22"/>
      <c r="Q23" s="22"/>
    </row>
    <row r="24" spans="1:19" ht="14.7" customHeight="1" x14ac:dyDescent="0.3">
      <c r="A24" s="351"/>
      <c r="B24" s="434"/>
      <c r="C24" s="434"/>
      <c r="D24" s="434"/>
      <c r="E24" s="434"/>
      <c r="F24" s="434"/>
      <c r="G24" s="22"/>
      <c r="H24" s="22"/>
      <c r="I24" s="22"/>
      <c r="J24" s="22"/>
      <c r="K24" s="22"/>
      <c r="L24" s="450"/>
      <c r="M24" s="450"/>
      <c r="N24" s="22"/>
      <c r="O24" s="22"/>
      <c r="P24" s="22"/>
      <c r="Q24" s="22"/>
      <c r="R24">
        <v>1</v>
      </c>
      <c r="S24" t="s">
        <v>237</v>
      </c>
    </row>
    <row r="25" spans="1:19" x14ac:dyDescent="0.3">
      <c r="A25" s="351"/>
      <c r="B25" s="459" t="s">
        <v>287</v>
      </c>
      <c r="C25" s="459"/>
      <c r="D25" s="459"/>
      <c r="E25" s="459"/>
      <c r="F25" s="459"/>
      <c r="G25" s="22"/>
      <c r="H25" s="22"/>
      <c r="I25" s="22"/>
      <c r="J25" s="22"/>
      <c r="K25" s="22"/>
      <c r="L25" s="450"/>
      <c r="M25" s="450"/>
      <c r="N25" s="22"/>
      <c r="O25" s="22"/>
      <c r="P25" s="22"/>
      <c r="Q25" s="22"/>
      <c r="R25">
        <v>2</v>
      </c>
      <c r="S25" t="s">
        <v>235</v>
      </c>
    </row>
    <row r="26" spans="1:19" x14ac:dyDescent="0.3">
      <c r="A26" s="351"/>
      <c r="B26" s="449" t="s">
        <v>286</v>
      </c>
      <c r="C26" s="449"/>
      <c r="D26" s="436"/>
      <c r="E26" s="456" t="s">
        <v>291</v>
      </c>
      <c r="F26" s="436"/>
      <c r="G26" s="22"/>
      <c r="H26" s="22"/>
      <c r="I26" s="22"/>
      <c r="J26" s="22"/>
      <c r="K26" s="22"/>
      <c r="L26" s="450"/>
      <c r="M26" s="450"/>
      <c r="N26" s="22"/>
      <c r="O26" s="22"/>
      <c r="P26" s="22"/>
      <c r="Q26" s="22"/>
      <c r="R26">
        <v>3</v>
      </c>
      <c r="S26" t="s">
        <v>236</v>
      </c>
    </row>
    <row r="27" spans="1:19" x14ac:dyDescent="0.3">
      <c r="A27" s="351"/>
      <c r="B27" s="449"/>
      <c r="C27" s="449"/>
      <c r="D27" s="436"/>
      <c r="E27" s="456"/>
      <c r="F27" s="436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>
        <v>4</v>
      </c>
      <c r="S27" t="s">
        <v>239</v>
      </c>
    </row>
    <row r="28" spans="1:19" ht="15" thickBot="1" x14ac:dyDescent="0.35">
      <c r="A28" s="351"/>
      <c r="B28" s="426"/>
      <c r="C28" s="426"/>
      <c r="D28" s="426"/>
      <c r="E28" s="426"/>
      <c r="F28" s="426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>
        <v>5</v>
      </c>
      <c r="S28" t="s">
        <v>240</v>
      </c>
    </row>
    <row r="29" spans="1:19" ht="14.7" customHeight="1" x14ac:dyDescent="0.3">
      <c r="A29" s="351"/>
      <c r="B29" s="420" t="s">
        <v>293</v>
      </c>
      <c r="C29" s="421"/>
      <c r="D29" s="458"/>
      <c r="E29" s="420" t="s">
        <v>294</v>
      </c>
      <c r="F29" s="421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>
        <v>6</v>
      </c>
      <c r="S29" t="s">
        <v>241</v>
      </c>
    </row>
    <row r="30" spans="1:19" ht="15.45" customHeight="1" thickBot="1" x14ac:dyDescent="0.35">
      <c r="A30" s="351"/>
      <c r="B30" s="422"/>
      <c r="C30" s="423"/>
      <c r="D30" s="458"/>
      <c r="E30" s="422"/>
      <c r="F30" s="423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S30" t="s">
        <v>238</v>
      </c>
    </row>
    <row r="31" spans="1:19" x14ac:dyDescent="0.3">
      <c r="A31" s="351"/>
      <c r="B31" s="351"/>
      <c r="C31" s="351"/>
      <c r="D31" s="351"/>
      <c r="E31" s="351"/>
      <c r="F31" s="351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t="s">
        <v>205</v>
      </c>
    </row>
    <row r="32" spans="1:19" x14ac:dyDescent="0.3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>
        <f>'OS TALUS'!T14</f>
        <v>0</v>
      </c>
      <c r="S32">
        <f>'OS TALUS'!U13</f>
        <v>0</v>
      </c>
    </row>
    <row r="34" spans="18:19" hidden="1" x14ac:dyDescent="0.3">
      <c r="R34" t="s">
        <v>292</v>
      </c>
    </row>
    <row r="35" spans="18:19" hidden="1" x14ac:dyDescent="0.3">
      <c r="R35">
        <f>IF(B23="MANUAL ENTRY", ABS(D26), IF(B23="USE SOFTWARE INBUILT NOMOGRAM", R32, IF(B23="DO NOT CONSIDER", 0)))</f>
        <v>0</v>
      </c>
      <c r="S35">
        <f>IF(B23="MANUAL ENTRY", F26, IF(B23="USE SOFTWARE INBUILT NOMOGRAM", S32, IF(B23="DO NOT CONSIDER", 0)))</f>
        <v>0</v>
      </c>
    </row>
  </sheetData>
  <sheetProtection sheet="1" objects="1" scenarios="1" selectLockedCells="1"/>
  <mergeCells count="35">
    <mergeCell ref="B28:F28"/>
    <mergeCell ref="B12:B13"/>
    <mergeCell ref="E12:F13"/>
    <mergeCell ref="A4:A31"/>
    <mergeCell ref="B31:F31"/>
    <mergeCell ref="E18:F18"/>
    <mergeCell ref="E19:F19"/>
    <mergeCell ref="E26:E27"/>
    <mergeCell ref="B24:F24"/>
    <mergeCell ref="B20:F20"/>
    <mergeCell ref="B29:C30"/>
    <mergeCell ref="E29:F30"/>
    <mergeCell ref="D29:D30"/>
    <mergeCell ref="D26:D27"/>
    <mergeCell ref="F26:F27"/>
    <mergeCell ref="B25:F25"/>
    <mergeCell ref="B26:C27"/>
    <mergeCell ref="E16:F16"/>
    <mergeCell ref="E17:F17"/>
    <mergeCell ref="J4:O7"/>
    <mergeCell ref="J11:L12"/>
    <mergeCell ref="I16:J17"/>
    <mergeCell ref="L23:M26"/>
    <mergeCell ref="A1:P2"/>
    <mergeCell ref="B21:F22"/>
    <mergeCell ref="B23:F23"/>
    <mergeCell ref="A3:P3"/>
    <mergeCell ref="B4:F4"/>
    <mergeCell ref="B6:F6"/>
    <mergeCell ref="B7:C7"/>
    <mergeCell ref="B9:F9"/>
    <mergeCell ref="E14:F14"/>
    <mergeCell ref="E15:F15"/>
    <mergeCell ref="C12:C13"/>
    <mergeCell ref="D12:D13"/>
  </mergeCells>
  <dataValidations count="3">
    <dataValidation type="list" allowBlank="1" showInputMessage="1" showErrorMessage="1" sqref="B23" xr:uid="{00000000-0002-0000-0400-000000000000}">
      <formula1>$R$17:$R$19</formula1>
    </dataValidation>
    <dataValidation type="list" allowBlank="1" showInputMessage="1" showErrorMessage="1" sqref="D14:D19" xr:uid="{00000000-0002-0000-0400-000001000000}">
      <formula1>$R$24:$R$29</formula1>
    </dataValidation>
    <dataValidation type="list" allowBlank="1" showInputMessage="1" showErrorMessage="1" sqref="E14:F19" xr:uid="{00000000-0002-0000-0400-000002000000}">
      <formula1>$S$24:$S$30</formula1>
    </dataValidation>
  </dataValidations>
  <hyperlinks>
    <hyperlink ref="B29:C30" location="'Sheet3 (2)'!B19" display="PROCEED" xr:uid="{3FEECAE6-E499-4717-9037-DD387CCD355C}"/>
    <hyperlink ref="E29:F30" location="PRIMARY!E19" display="BACK" xr:uid="{5F784D73-8F14-4FB0-89F4-638B66DF734B}"/>
    <hyperlink ref="J4:O7" location="Sheet4!A1" display="CLICK HERE TO SEE INSTRUCTIONS FOR HOW TO FILL TALUS DATA" xr:uid="{881F7358-5DC3-41AF-B768-14E08DA59938}"/>
  </hyperlinks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0"/>
  <sheetViews>
    <sheetView showRowColHeaders="0" zoomScale="130" zoomScaleNormal="130" workbookViewId="0">
      <selection activeCell="F22" sqref="F22:G23"/>
    </sheetView>
  </sheetViews>
  <sheetFormatPr defaultColWidth="0" defaultRowHeight="14.4" zeroHeight="1" x14ac:dyDescent="0.3"/>
  <cols>
    <col min="1" max="8" width="8.77734375" customWidth="1"/>
    <col min="9" max="16384" width="8.77734375" hidden="1"/>
  </cols>
  <sheetData>
    <row r="1" spans="1:8" x14ac:dyDescent="0.3">
      <c r="A1" s="351"/>
      <c r="B1" s="351"/>
      <c r="C1" s="351"/>
      <c r="D1" s="351"/>
      <c r="E1" s="351"/>
      <c r="F1" s="351"/>
      <c r="G1" s="351"/>
      <c r="H1" s="351"/>
    </row>
    <row r="2" spans="1:8" x14ac:dyDescent="0.3">
      <c r="A2" s="351"/>
      <c r="B2" s="468" t="s">
        <v>271</v>
      </c>
      <c r="C2" s="468"/>
      <c r="D2" s="468"/>
      <c r="E2" s="468"/>
      <c r="F2" s="468"/>
      <c r="G2" s="468"/>
      <c r="H2" s="351"/>
    </row>
    <row r="3" spans="1:8" x14ac:dyDescent="0.3">
      <c r="A3" s="351"/>
      <c r="B3" s="48"/>
      <c r="C3" s="48"/>
      <c r="D3" s="48" t="s">
        <v>58</v>
      </c>
      <c r="E3" s="48"/>
      <c r="F3" s="48"/>
      <c r="G3" s="48"/>
      <c r="H3" s="351"/>
    </row>
    <row r="4" spans="1:8" x14ac:dyDescent="0.3">
      <c r="A4" s="351"/>
      <c r="B4" s="48"/>
      <c r="C4" s="460" t="s">
        <v>164</v>
      </c>
      <c r="D4" s="460"/>
      <c r="E4" s="460"/>
      <c r="F4" s="48"/>
      <c r="G4" s="48"/>
      <c r="H4" s="351"/>
    </row>
    <row r="5" spans="1:8" x14ac:dyDescent="0.3">
      <c r="A5" s="351"/>
      <c r="B5" s="48"/>
      <c r="C5" s="36" t="s">
        <v>66</v>
      </c>
      <c r="D5" s="36" t="s">
        <v>18</v>
      </c>
      <c r="E5" s="36" t="s">
        <v>19</v>
      </c>
      <c r="F5" s="48"/>
      <c r="G5" s="48"/>
      <c r="H5" s="351"/>
    </row>
    <row r="6" spans="1:8" x14ac:dyDescent="0.3">
      <c r="A6" s="351"/>
      <c r="B6" s="48"/>
      <c r="C6" s="160">
        <f>'OD TALUS'!G5</f>
        <v>0</v>
      </c>
      <c r="D6" s="160">
        <f>'OD TALUS'!H5</f>
        <v>0</v>
      </c>
      <c r="E6" s="160">
        <f>'OD TALUS'!I5</f>
        <v>0</v>
      </c>
      <c r="F6" s="48"/>
      <c r="G6" s="48"/>
      <c r="H6" s="351"/>
    </row>
    <row r="7" spans="1:8" x14ac:dyDescent="0.3">
      <c r="A7" s="351"/>
      <c r="B7" s="48"/>
      <c r="C7" s="48"/>
      <c r="D7" s="48"/>
      <c r="E7" s="48"/>
      <c r="F7" s="48"/>
      <c r="G7" s="48"/>
      <c r="H7" s="351"/>
    </row>
    <row r="8" spans="1:8" x14ac:dyDescent="0.3">
      <c r="A8" s="351"/>
      <c r="B8" s="461" t="s">
        <v>245</v>
      </c>
      <c r="C8" s="461"/>
      <c r="D8" s="461"/>
      <c r="E8" s="462"/>
      <c r="F8" s="462"/>
      <c r="G8" s="462"/>
      <c r="H8" s="351"/>
    </row>
    <row r="9" spans="1:8" x14ac:dyDescent="0.3">
      <c r="A9" s="351"/>
      <c r="B9" s="463">
        <f>'OD TALUS'!H10</f>
        <v>0</v>
      </c>
      <c r="C9" s="463"/>
      <c r="D9" s="161" t="e">
        <f>'OD TALUS'!I10</f>
        <v>#DIV/0!</v>
      </c>
      <c r="E9" s="462"/>
      <c r="F9" s="462"/>
      <c r="G9" s="462"/>
      <c r="H9" s="351"/>
    </row>
    <row r="10" spans="1:8" x14ac:dyDescent="0.3">
      <c r="A10" s="351"/>
      <c r="B10" s="48"/>
      <c r="C10" s="48"/>
      <c r="D10" s="48"/>
      <c r="E10" s="462"/>
      <c r="F10" s="462"/>
      <c r="G10" s="462"/>
      <c r="H10" s="351"/>
    </row>
    <row r="11" spans="1:8" x14ac:dyDescent="0.3">
      <c r="A11" s="351"/>
      <c r="B11" s="464" t="s">
        <v>336</v>
      </c>
      <c r="C11" s="464"/>
      <c r="D11" s="464"/>
      <c r="E11" s="462"/>
      <c r="F11" s="462"/>
      <c r="G11" s="462"/>
      <c r="H11" s="351"/>
    </row>
    <row r="12" spans="1:8" x14ac:dyDescent="0.3">
      <c r="A12" s="351"/>
      <c r="B12" s="464">
        <f>'OD TALUS'!H9</f>
        <v>0</v>
      </c>
      <c r="C12" s="464"/>
      <c r="D12" s="95" t="e">
        <f>'OD TALUS'!I9</f>
        <v>#DIV/0!</v>
      </c>
      <c r="E12" s="462"/>
      <c r="F12" s="462"/>
      <c r="G12" s="462"/>
      <c r="H12" s="351"/>
    </row>
    <row r="13" spans="1:8" x14ac:dyDescent="0.3">
      <c r="A13" s="351"/>
      <c r="B13" s="48"/>
      <c r="C13" s="48"/>
      <c r="D13" s="48"/>
      <c r="E13" s="462"/>
      <c r="F13" s="462"/>
      <c r="G13" s="462"/>
      <c r="H13" s="351"/>
    </row>
    <row r="14" spans="1:8" x14ac:dyDescent="0.3">
      <c r="A14" s="351"/>
      <c r="B14" s="465" t="s">
        <v>246</v>
      </c>
      <c r="C14" s="465"/>
      <c r="D14" s="465"/>
      <c r="E14" s="462"/>
      <c r="F14" s="462"/>
      <c r="G14" s="462"/>
      <c r="H14" s="351"/>
    </row>
    <row r="15" spans="1:8" x14ac:dyDescent="0.3">
      <c r="A15" s="351"/>
      <c r="B15" s="465" t="e">
        <f>'OD TALUS'!H11</f>
        <v>#DIV/0!</v>
      </c>
      <c r="C15" s="465"/>
      <c r="D15" s="162" t="e">
        <f>'OD TALUS'!I11</f>
        <v>#DIV/0!</v>
      </c>
      <c r="E15" s="462"/>
      <c r="F15" s="462"/>
      <c r="G15" s="462"/>
      <c r="H15" s="351"/>
    </row>
    <row r="16" spans="1:8" x14ac:dyDescent="0.3">
      <c r="A16" s="351"/>
      <c r="B16" s="48"/>
      <c r="C16" s="48"/>
      <c r="D16" s="48"/>
      <c r="E16" s="48"/>
      <c r="F16" s="48"/>
      <c r="G16" s="48"/>
      <c r="H16" s="351"/>
    </row>
    <row r="17" spans="1:8" x14ac:dyDescent="0.3">
      <c r="A17" s="351"/>
      <c r="B17" s="48"/>
      <c r="C17" s="48"/>
      <c r="D17" s="48"/>
      <c r="E17" s="48"/>
      <c r="F17" s="48"/>
      <c r="G17" s="48"/>
      <c r="H17" s="351"/>
    </row>
    <row r="18" spans="1:8" x14ac:dyDescent="0.3">
      <c r="A18" s="351"/>
      <c r="B18" s="466" t="s">
        <v>295</v>
      </c>
      <c r="C18" s="466"/>
      <c r="D18" s="466"/>
      <c r="E18" s="466"/>
      <c r="F18" s="466"/>
      <c r="G18" s="466"/>
      <c r="H18" s="351"/>
    </row>
    <row r="19" spans="1:8" x14ac:dyDescent="0.3">
      <c r="A19" s="351"/>
      <c r="B19" s="467" t="s">
        <v>296</v>
      </c>
      <c r="C19" s="467"/>
      <c r="D19" s="467"/>
      <c r="E19" s="467"/>
      <c r="F19" s="467"/>
      <c r="G19" s="467"/>
      <c r="H19" s="351"/>
    </row>
    <row r="20" spans="1:8" x14ac:dyDescent="0.3">
      <c r="A20" s="351"/>
      <c r="B20" s="48"/>
      <c r="C20" s="48"/>
      <c r="D20" s="48"/>
      <c r="E20" s="48"/>
      <c r="F20" s="48"/>
      <c r="G20" s="48"/>
      <c r="H20" s="351"/>
    </row>
    <row r="21" spans="1:8" ht="15" thickBot="1" x14ac:dyDescent="0.35">
      <c r="A21" s="351"/>
      <c r="B21" s="48"/>
      <c r="C21" s="48"/>
      <c r="D21" s="48"/>
      <c r="E21" s="48"/>
      <c r="F21" s="48"/>
      <c r="G21" s="48"/>
      <c r="H21" s="351"/>
    </row>
    <row r="22" spans="1:8" x14ac:dyDescent="0.3">
      <c r="A22" s="351"/>
      <c r="B22" s="351"/>
      <c r="C22" s="420" t="s">
        <v>293</v>
      </c>
      <c r="D22" s="421"/>
      <c r="E22" s="351"/>
      <c r="F22" s="420" t="s">
        <v>294</v>
      </c>
      <c r="G22" s="421"/>
      <c r="H22" s="351"/>
    </row>
    <row r="23" spans="1:8" ht="15" thickBot="1" x14ac:dyDescent="0.35">
      <c r="A23" s="351"/>
      <c r="B23" s="351"/>
      <c r="C23" s="422"/>
      <c r="D23" s="423"/>
      <c r="E23" s="351"/>
      <c r="F23" s="422"/>
      <c r="G23" s="423"/>
      <c r="H23" s="351"/>
    </row>
    <row r="24" spans="1:8" x14ac:dyDescent="0.3">
      <c r="A24" s="351"/>
      <c r="B24" s="351"/>
      <c r="C24" s="351"/>
      <c r="D24" s="351"/>
      <c r="E24" s="351"/>
      <c r="F24" s="351"/>
      <c r="G24" s="351"/>
      <c r="H24" s="351"/>
    </row>
    <row r="25" spans="1:8" x14ac:dyDescent="0.3">
      <c r="A25" s="351"/>
      <c r="B25" s="351"/>
      <c r="C25" s="351"/>
      <c r="D25" s="351"/>
      <c r="E25" s="351"/>
      <c r="F25" s="351"/>
      <c r="G25" s="351"/>
      <c r="H25" s="351"/>
    </row>
    <row r="29" spans="1:8" hidden="1" x14ac:dyDescent="0.3">
      <c r="D29" t="s">
        <v>296</v>
      </c>
    </row>
    <row r="30" spans="1:8" hidden="1" x14ac:dyDescent="0.3">
      <c r="D30" t="s">
        <v>297</v>
      </c>
    </row>
  </sheetData>
  <sheetProtection sheet="1" objects="1" scenarios="1" selectLockedCells="1"/>
  <mergeCells count="20">
    <mergeCell ref="A1:H1"/>
    <mergeCell ref="A2:A25"/>
    <mergeCell ref="H2:H25"/>
    <mergeCell ref="C22:D23"/>
    <mergeCell ref="F22:G23"/>
    <mergeCell ref="E22:E25"/>
    <mergeCell ref="B22:B25"/>
    <mergeCell ref="C24:D25"/>
    <mergeCell ref="F24:G25"/>
    <mergeCell ref="B18:G18"/>
    <mergeCell ref="B19:G19"/>
    <mergeCell ref="B2:G2"/>
    <mergeCell ref="C4:E4"/>
    <mergeCell ref="B8:D8"/>
    <mergeCell ref="E8:G15"/>
    <mergeCell ref="B9:C9"/>
    <mergeCell ref="B11:D11"/>
    <mergeCell ref="B12:C12"/>
    <mergeCell ref="B14:D14"/>
    <mergeCell ref="B15:C15"/>
  </mergeCells>
  <dataValidations count="1">
    <dataValidation type="list" allowBlank="1" showInputMessage="1" showErrorMessage="1" sqref="B19:G19" xr:uid="{00000000-0002-0000-0500-000000000000}">
      <formula1>$D$29:$D$30</formula1>
    </dataValidation>
  </dataValidations>
  <hyperlinks>
    <hyperlink ref="C22:D23" location="'Sheet2 (3)'!U12" display="PROCEED" xr:uid="{2A849681-AA73-4688-A098-DCEECFAE742D}"/>
    <hyperlink ref="F22:G23" location="Sheet2!A1" display="BACK" xr:uid="{D4A003B5-5FE7-4D26-AA91-EF347ABB4333}"/>
  </hyperlinks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30"/>
  <sheetViews>
    <sheetView showRowColHeaders="0" zoomScale="130" zoomScaleNormal="130" workbookViewId="0">
      <selection activeCell="F22" sqref="F22:G23"/>
    </sheetView>
  </sheetViews>
  <sheetFormatPr defaultColWidth="0" defaultRowHeight="14.4" zeroHeight="1" x14ac:dyDescent="0.3"/>
  <cols>
    <col min="1" max="8" width="8.77734375" customWidth="1"/>
    <col min="9" max="16384" width="8.77734375" hidden="1"/>
  </cols>
  <sheetData>
    <row r="1" spans="1:8" x14ac:dyDescent="0.3">
      <c r="A1" s="351"/>
      <c r="B1" s="351"/>
      <c r="C1" s="351"/>
      <c r="D1" s="351"/>
      <c r="E1" s="351"/>
      <c r="F1" s="351"/>
      <c r="G1" s="351"/>
      <c r="H1" s="351"/>
    </row>
    <row r="2" spans="1:8" x14ac:dyDescent="0.3">
      <c r="A2" s="351"/>
      <c r="B2" s="443" t="s">
        <v>271</v>
      </c>
      <c r="C2" s="443"/>
      <c r="D2" s="443"/>
      <c r="E2" s="443"/>
      <c r="F2" s="443"/>
      <c r="G2" s="443"/>
      <c r="H2" s="351"/>
    </row>
    <row r="3" spans="1:8" x14ac:dyDescent="0.3">
      <c r="A3" s="351"/>
      <c r="B3" s="47"/>
      <c r="C3" s="47"/>
      <c r="D3" s="47" t="s">
        <v>59</v>
      </c>
      <c r="E3" s="47"/>
      <c r="F3" s="47"/>
      <c r="G3" s="47"/>
      <c r="H3" s="351"/>
    </row>
    <row r="4" spans="1:8" x14ac:dyDescent="0.3">
      <c r="A4" s="351"/>
      <c r="B4" s="47"/>
      <c r="C4" s="444" t="s">
        <v>164</v>
      </c>
      <c r="D4" s="444"/>
      <c r="E4" s="444"/>
      <c r="F4" s="47"/>
      <c r="G4" s="47"/>
      <c r="H4" s="351"/>
    </row>
    <row r="5" spans="1:8" x14ac:dyDescent="0.3">
      <c r="A5" s="351"/>
      <c r="B5" s="47"/>
      <c r="C5" s="37" t="s">
        <v>66</v>
      </c>
      <c r="D5" s="37" t="s">
        <v>18</v>
      </c>
      <c r="E5" s="37" t="s">
        <v>19</v>
      </c>
      <c r="F5" s="47"/>
      <c r="G5" s="47"/>
      <c r="H5" s="351"/>
    </row>
    <row r="6" spans="1:8" x14ac:dyDescent="0.3">
      <c r="A6" s="351"/>
      <c r="B6" s="47"/>
      <c r="C6" s="163">
        <f>'OS TALUS'!G5</f>
        <v>0</v>
      </c>
      <c r="D6" s="163">
        <f>'OS TALUS'!H5</f>
        <v>0</v>
      </c>
      <c r="E6" s="163">
        <f>'OS TALUS'!I5</f>
        <v>0</v>
      </c>
      <c r="F6" s="47"/>
      <c r="G6" s="47"/>
      <c r="H6" s="351"/>
    </row>
    <row r="7" spans="1:8" x14ac:dyDescent="0.3">
      <c r="A7" s="351"/>
      <c r="B7" s="47"/>
      <c r="C7" s="47"/>
      <c r="D7" s="47"/>
      <c r="E7" s="47"/>
      <c r="F7" s="47"/>
      <c r="G7" s="47"/>
      <c r="H7" s="351"/>
    </row>
    <row r="8" spans="1:8" x14ac:dyDescent="0.3">
      <c r="A8" s="351"/>
      <c r="B8" s="469" t="s">
        <v>245</v>
      </c>
      <c r="C8" s="469"/>
      <c r="D8" s="469"/>
      <c r="E8" s="470"/>
      <c r="F8" s="470"/>
      <c r="G8" s="470"/>
      <c r="H8" s="351"/>
    </row>
    <row r="9" spans="1:8" x14ac:dyDescent="0.3">
      <c r="A9" s="351"/>
      <c r="B9" s="471">
        <f>'OS TALUS'!H10</f>
        <v>0</v>
      </c>
      <c r="C9" s="471"/>
      <c r="D9" s="164" t="e">
        <f>'OS TALUS'!I10</f>
        <v>#DIV/0!</v>
      </c>
      <c r="E9" s="470"/>
      <c r="F9" s="470"/>
      <c r="G9" s="470"/>
      <c r="H9" s="351"/>
    </row>
    <row r="10" spans="1:8" x14ac:dyDescent="0.3">
      <c r="A10" s="351"/>
      <c r="B10" s="47"/>
      <c r="C10" s="47"/>
      <c r="D10" s="47"/>
      <c r="E10" s="470"/>
      <c r="F10" s="470"/>
      <c r="G10" s="470"/>
      <c r="H10" s="351"/>
    </row>
    <row r="11" spans="1:8" x14ac:dyDescent="0.3">
      <c r="A11" s="351"/>
      <c r="B11" s="472" t="s">
        <v>336</v>
      </c>
      <c r="C11" s="472"/>
      <c r="D11" s="472"/>
      <c r="E11" s="470"/>
      <c r="F11" s="470"/>
      <c r="G11" s="470"/>
      <c r="H11" s="351"/>
    </row>
    <row r="12" spans="1:8" x14ac:dyDescent="0.3">
      <c r="A12" s="351"/>
      <c r="B12" s="472">
        <f>'OS TALUS'!H9</f>
        <v>0</v>
      </c>
      <c r="C12" s="472"/>
      <c r="D12" s="165" t="e">
        <f>'OS TALUS'!I9</f>
        <v>#DIV/0!</v>
      </c>
      <c r="E12" s="470"/>
      <c r="F12" s="470"/>
      <c r="G12" s="470"/>
      <c r="H12" s="351"/>
    </row>
    <row r="13" spans="1:8" x14ac:dyDescent="0.3">
      <c r="A13" s="351"/>
      <c r="B13" s="47"/>
      <c r="C13" s="47"/>
      <c r="D13" s="47"/>
      <c r="E13" s="470"/>
      <c r="F13" s="470"/>
      <c r="G13" s="470"/>
      <c r="H13" s="351"/>
    </row>
    <row r="14" spans="1:8" x14ac:dyDescent="0.3">
      <c r="A14" s="351"/>
      <c r="B14" s="473" t="s">
        <v>246</v>
      </c>
      <c r="C14" s="473"/>
      <c r="D14" s="473"/>
      <c r="E14" s="470"/>
      <c r="F14" s="470"/>
      <c r="G14" s="470"/>
      <c r="H14" s="351"/>
    </row>
    <row r="15" spans="1:8" x14ac:dyDescent="0.3">
      <c r="A15" s="351"/>
      <c r="B15" s="473" t="e">
        <f>'OS TALUS'!H11</f>
        <v>#DIV/0!</v>
      </c>
      <c r="C15" s="473"/>
      <c r="D15" s="166" t="e">
        <f>'OS TALUS'!I11</f>
        <v>#DIV/0!</v>
      </c>
      <c r="E15" s="470"/>
      <c r="F15" s="470"/>
      <c r="G15" s="470"/>
      <c r="H15" s="351"/>
    </row>
    <row r="16" spans="1:8" x14ac:dyDescent="0.3">
      <c r="A16" s="351"/>
      <c r="B16" s="47"/>
      <c r="C16" s="47"/>
      <c r="D16" s="47"/>
      <c r="E16" s="47"/>
      <c r="F16" s="47"/>
      <c r="G16" s="47"/>
      <c r="H16" s="351"/>
    </row>
    <row r="17" spans="1:8" x14ac:dyDescent="0.3">
      <c r="A17" s="351"/>
      <c r="B17" s="47"/>
      <c r="C17" s="47"/>
      <c r="D17" s="47"/>
      <c r="E17" s="47"/>
      <c r="F17" s="47"/>
      <c r="G17" s="47"/>
      <c r="H17" s="351"/>
    </row>
    <row r="18" spans="1:8" x14ac:dyDescent="0.3">
      <c r="A18" s="351"/>
      <c r="B18" s="441" t="s">
        <v>295</v>
      </c>
      <c r="C18" s="441"/>
      <c r="D18" s="441"/>
      <c r="E18" s="441"/>
      <c r="F18" s="441"/>
      <c r="G18" s="441"/>
      <c r="H18" s="351"/>
    </row>
    <row r="19" spans="1:8" x14ac:dyDescent="0.3">
      <c r="A19" s="351"/>
      <c r="B19" s="474" t="s">
        <v>296</v>
      </c>
      <c r="C19" s="474"/>
      <c r="D19" s="474"/>
      <c r="E19" s="474"/>
      <c r="F19" s="474"/>
      <c r="G19" s="474"/>
      <c r="H19" s="351"/>
    </row>
    <row r="20" spans="1:8" x14ac:dyDescent="0.3">
      <c r="A20" s="351"/>
      <c r="B20" s="47"/>
      <c r="C20" s="47"/>
      <c r="D20" s="47"/>
      <c r="E20" s="47"/>
      <c r="F20" s="47"/>
      <c r="G20" s="47"/>
      <c r="H20" s="351"/>
    </row>
    <row r="21" spans="1:8" ht="15" thickBot="1" x14ac:dyDescent="0.35">
      <c r="A21" s="351"/>
      <c r="B21" s="47"/>
      <c r="C21" s="47"/>
      <c r="D21" s="47"/>
      <c r="E21" s="47"/>
      <c r="F21" s="47"/>
      <c r="G21" s="47"/>
      <c r="H21" s="351"/>
    </row>
    <row r="22" spans="1:8" x14ac:dyDescent="0.3">
      <c r="A22" s="351"/>
      <c r="B22" s="351"/>
      <c r="C22" s="420" t="s">
        <v>293</v>
      </c>
      <c r="D22" s="421"/>
      <c r="E22" s="351"/>
      <c r="F22" s="420" t="s">
        <v>294</v>
      </c>
      <c r="G22" s="421"/>
      <c r="H22" s="351"/>
    </row>
    <row r="23" spans="1:8" ht="15" thickBot="1" x14ac:dyDescent="0.35">
      <c r="A23" s="351"/>
      <c r="B23" s="351"/>
      <c r="C23" s="422"/>
      <c r="D23" s="423"/>
      <c r="E23" s="351"/>
      <c r="F23" s="422"/>
      <c r="G23" s="423"/>
      <c r="H23" s="351"/>
    </row>
    <row r="24" spans="1:8" x14ac:dyDescent="0.3">
      <c r="A24" s="351"/>
      <c r="B24" s="351"/>
      <c r="C24" s="351"/>
      <c r="D24" s="351"/>
      <c r="E24" s="351"/>
      <c r="F24" s="351"/>
      <c r="G24" s="351"/>
      <c r="H24" s="351"/>
    </row>
    <row r="25" spans="1:8" x14ac:dyDescent="0.3">
      <c r="A25" s="351"/>
      <c r="B25" s="351"/>
      <c r="C25" s="351"/>
      <c r="D25" s="351"/>
      <c r="E25" s="351"/>
      <c r="F25" s="351"/>
      <c r="G25" s="351"/>
      <c r="H25" s="351"/>
    </row>
    <row r="29" spans="1:8" hidden="1" x14ac:dyDescent="0.3">
      <c r="D29" t="s">
        <v>296</v>
      </c>
    </row>
    <row r="30" spans="1:8" hidden="1" x14ac:dyDescent="0.3">
      <c r="D30" t="s">
        <v>297</v>
      </c>
    </row>
  </sheetData>
  <sheetProtection sheet="1" objects="1" scenarios="1" selectLockedCells="1"/>
  <dataConsolidate/>
  <mergeCells count="20">
    <mergeCell ref="A1:H1"/>
    <mergeCell ref="A2:A25"/>
    <mergeCell ref="H2:H25"/>
    <mergeCell ref="C22:D23"/>
    <mergeCell ref="F22:G23"/>
    <mergeCell ref="E22:E25"/>
    <mergeCell ref="B22:B25"/>
    <mergeCell ref="C24:D25"/>
    <mergeCell ref="F24:G25"/>
    <mergeCell ref="B18:G18"/>
    <mergeCell ref="B19:G19"/>
    <mergeCell ref="B2:G2"/>
    <mergeCell ref="C4:E4"/>
    <mergeCell ref="B8:D8"/>
    <mergeCell ref="E8:G15"/>
    <mergeCell ref="B9:C9"/>
    <mergeCell ref="B11:D11"/>
    <mergeCell ref="B12:C12"/>
    <mergeCell ref="B14:D14"/>
    <mergeCell ref="B15:C15"/>
  </mergeCells>
  <dataValidations count="1">
    <dataValidation type="list" allowBlank="1" showInputMessage="1" showErrorMessage="1" sqref="B19:G19" xr:uid="{00000000-0002-0000-0600-000000000000}">
      <formula1>$D$29:$D$30</formula1>
    </dataValidation>
  </dataValidations>
  <hyperlinks>
    <hyperlink ref="C22:D23" location="'Sheet3 (3)'!U12" display="PROCEED" xr:uid="{F34FF162-0C34-4A0A-A47F-2F9506D426A1}"/>
    <hyperlink ref="F22:G23" location="Sheet3!A1" display="BACK" xr:uid="{09BBCBBD-8C60-457B-BF02-A4D155DE30BF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PRIMARY</vt:lpstr>
      <vt:lpstr>Sheet4</vt:lpstr>
      <vt:lpstr>OD TALUS</vt:lpstr>
      <vt:lpstr>OS TALUS</vt:lpstr>
      <vt:lpstr>SPHERE NOMOGRAM</vt:lpstr>
      <vt:lpstr>Sheet2</vt:lpstr>
      <vt:lpstr>Sheet3</vt:lpstr>
      <vt:lpstr>Sheet2 (2)</vt:lpstr>
      <vt:lpstr>Sheet3 (2)</vt:lpstr>
      <vt:lpstr>Sheet2 (3)</vt:lpstr>
      <vt:lpstr>Sheet3 (3)</vt:lpstr>
      <vt:lpstr>Sheet1</vt:lpstr>
      <vt:lpstr>PRIMARY!Print_Area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 ZAIN KHATIB</dc:creator>
  <cp:lastModifiedBy>Zain Khatib</cp:lastModifiedBy>
  <cp:lastPrinted>2022-04-15T07:42:22Z</cp:lastPrinted>
  <dcterms:created xsi:type="dcterms:W3CDTF">2015-06-05T18:17:20Z</dcterms:created>
  <dcterms:modified xsi:type="dcterms:W3CDTF">2023-05-13T04:10:27Z</dcterms:modified>
</cp:coreProperties>
</file>